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40" windowHeight="8910" tabRatio="895" activeTab="0"/>
  </bookViews>
  <sheets>
    <sheet name="Overall (Graphs)" sheetId="1" r:id="rId1"/>
    <sheet name="Cost Breakdown - Graph" sheetId="2" r:id="rId2"/>
    <sheet name="Actual vs Planned Hrs  Graphs 1" sheetId="3" r:id="rId3"/>
    <sheet name="Actual vs Planned Hrs  Graphs 2" sheetId="4" r:id="rId4"/>
    <sheet name="Cost (Actual vs. Planned Hrs.)" sheetId="5" r:id="rId5"/>
    <sheet name="Total Maint Hrs. By Asset Famil" sheetId="6" r:id="rId6"/>
    <sheet name="Maint. Hrs Per Unit - Graph 1 " sheetId="7" r:id="rId7"/>
    <sheet name="Maint. Hrs Per Unit - Graph 2" sheetId="8" r:id="rId8"/>
    <sheet name="Maint. Hrs Per Unit - Graph 3" sheetId="9" r:id="rId9"/>
    <sheet name="Hrs per Unit Planned v Reactive" sheetId="10" r:id="rId10"/>
    <sheet name="Cost (Summary)" sheetId="11" r:id="rId11"/>
    <sheet name="Quality" sheetId="12" r:id="rId12"/>
    <sheet name="Delivery" sheetId="13" r:id="rId13"/>
    <sheet name="Corporate Responsibility" sheetId="14" r:id="rId14"/>
    <sheet name="&lt;KPIs on Customer&gt;" sheetId="15" r:id="rId15"/>
    <sheet name="Other" sheetId="16" r:id="rId16"/>
    <sheet name="Cost (Breakdown)" sheetId="17" r:id="rId17"/>
  </sheets>
  <definedNames>
    <definedName name="_xlnm.Print_Area" localSheetId="4">'Cost (Actual vs. Planned Hrs.)'!$A$1:$AD$78</definedName>
    <definedName name="_xlnm.Print_Area" localSheetId="16">'Cost (Breakdown)'!$A$1:$Y$72</definedName>
    <definedName name="_xlnm.Print_Area" localSheetId="10">'Cost (Summary)'!$A$1:$W$43</definedName>
    <definedName name="_xlnm.Print_Area" localSheetId="1">'Cost Breakdown - Graph'!$A$1:$U$42</definedName>
  </definedNames>
  <calcPr fullCalcOnLoad="1"/>
</workbook>
</file>

<file path=xl/comments10.xml><?xml version="1.0" encoding="utf-8"?>
<comments xmlns="http://schemas.openxmlformats.org/spreadsheetml/2006/main">
  <authors>
    <author>David Jones</author>
  </authors>
  <commentList>
    <comment ref="D107" authorId="0">
      <text>
        <r>
          <rPr>
            <sz val="8"/>
            <rFont val="Tahoma"/>
            <family val="0"/>
          </rPr>
          <t>AFC1 = Various</t>
        </r>
      </text>
    </comment>
    <comment ref="D96" authorId="0">
      <text>
        <r>
          <rPr>
            <sz val="8"/>
            <rFont val="Tahoma"/>
            <family val="0"/>
          </rPr>
          <t xml:space="preserve">AFC1 =893
</t>
        </r>
      </text>
    </comment>
    <comment ref="D85" authorId="0">
      <text>
        <r>
          <rPr>
            <sz val="8"/>
            <rFont val="Tahoma"/>
            <family val="0"/>
          </rPr>
          <t xml:space="preserve">AFC1 =827
</t>
        </r>
      </text>
    </comment>
    <comment ref="D74" authorId="0">
      <text>
        <r>
          <rPr>
            <sz val="8"/>
            <rFont val="Tahoma"/>
            <family val="0"/>
          </rPr>
          <t xml:space="preserve">AFC1 =823
</t>
        </r>
      </text>
    </comment>
    <comment ref="D63" authorId="0">
      <text>
        <r>
          <rPr>
            <sz val="8"/>
            <rFont val="Tahoma"/>
            <family val="0"/>
          </rPr>
          <t xml:space="preserve">AFC1 =713
</t>
        </r>
      </text>
    </comment>
    <comment ref="D52" authorId="0">
      <text>
        <r>
          <rPr>
            <sz val="8"/>
            <rFont val="Tahoma"/>
            <family val="0"/>
          </rPr>
          <t xml:space="preserve">AFC1 =411
</t>
        </r>
      </text>
    </comment>
    <comment ref="D41" authorId="0">
      <text>
        <r>
          <rPr>
            <sz val="8"/>
            <rFont val="Tahoma"/>
            <family val="0"/>
          </rPr>
          <t xml:space="preserve">AFC1 =263
</t>
        </r>
      </text>
    </comment>
    <comment ref="D30" authorId="0">
      <text>
        <r>
          <rPr>
            <sz val="8"/>
            <rFont val="Tahoma"/>
            <family val="0"/>
          </rPr>
          <t xml:space="preserve">AFC1 =259
</t>
        </r>
      </text>
    </comment>
    <comment ref="D19" authorId="0">
      <text>
        <r>
          <rPr>
            <sz val="8"/>
            <rFont val="Tahoma"/>
            <family val="0"/>
          </rPr>
          <t xml:space="preserve">AFC1 =247
</t>
        </r>
      </text>
    </comment>
    <comment ref="D8" authorId="0">
      <text>
        <r>
          <rPr>
            <sz val="8"/>
            <rFont val="Tahoma"/>
            <family val="0"/>
          </rPr>
          <t xml:space="preserve">AFC1 =223
</t>
        </r>
      </text>
    </comment>
  </commentList>
</comments>
</file>

<file path=xl/comments17.xml><?xml version="1.0" encoding="utf-8"?>
<comments xmlns="http://schemas.openxmlformats.org/spreadsheetml/2006/main">
  <authors>
    <author>David Jones</author>
  </authors>
  <commentList>
    <comment ref="K34" authorId="0">
      <text>
        <r>
          <rPr>
            <b/>
            <sz val="8"/>
            <rFont val="Tahoma"/>
            <family val="0"/>
          </rPr>
          <t>David Jones:</t>
        </r>
        <r>
          <rPr>
            <sz val="8"/>
            <rFont val="Tahoma"/>
            <family val="0"/>
          </rPr>
          <t xml:space="preserve">
Paul Thompson £1k</t>
        </r>
      </text>
    </comment>
    <comment ref="J34" authorId="0">
      <text>
        <r>
          <rPr>
            <b/>
            <sz val="8"/>
            <rFont val="Tahoma"/>
            <family val="0"/>
          </rPr>
          <t>David Jones:</t>
        </r>
        <r>
          <rPr>
            <sz val="8"/>
            <rFont val="Tahoma"/>
            <family val="0"/>
          </rPr>
          <t xml:space="preserve">
Paul Thompson £ 2.1k
</t>
        </r>
      </text>
    </comment>
    <comment ref="J33" authorId="0">
      <text>
        <r>
          <rPr>
            <b/>
            <sz val="8"/>
            <rFont val="Tahoma"/>
            <family val="0"/>
          </rPr>
          <t>David Jones:</t>
        </r>
        <r>
          <rPr>
            <sz val="8"/>
            <rFont val="Tahoma"/>
            <family val="0"/>
          </rPr>
          <t xml:space="preserve">
50% of this materials value is from previous months.</t>
        </r>
      </text>
    </comment>
    <comment ref="J21" authorId="0">
      <text>
        <r>
          <rPr>
            <b/>
            <sz val="8"/>
            <rFont val="Tahoma"/>
            <family val="0"/>
          </rPr>
          <t>David Jones:</t>
        </r>
        <r>
          <rPr>
            <sz val="8"/>
            <rFont val="Tahoma"/>
            <family val="0"/>
          </rPr>
          <t xml:space="preserve">
£ 3k of materials pulled forward ?
</t>
        </r>
      </text>
    </comment>
  </commentList>
</comments>
</file>

<file path=xl/sharedStrings.xml><?xml version="1.0" encoding="utf-8"?>
<sst xmlns="http://schemas.openxmlformats.org/spreadsheetml/2006/main" count="695" uniqueCount="217">
  <si>
    <t>Year 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</si>
  <si>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</si>
  <si>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</si>
  <si>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</si>
  <si>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</si>
  <si>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</si>
  <si>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</si>
  <si>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</si>
  <si>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</si>
  <si>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</si>
  <si>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</si>
  <si>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</si>
  <si>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</si>
  <si>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Score</t>
  </si>
  <si>
    <t>Out of</t>
  </si>
  <si>
    <t>&gt;</t>
  </si>
  <si>
    <t>&lt;</t>
  </si>
  <si>
    <t>of Jobs Cancelled - PPM Defects (Binary)</t>
  </si>
  <si>
    <t>OTIF All KPIs by xxth Month - PPM Defects (Binary)</t>
  </si>
  <si>
    <t>Average of Delivery KPIs - Defects PPM</t>
  </si>
  <si>
    <t>The binary nature of the "OTIF ALL KPIS by xxth Month" metric, means that the supplier's score is penalised heavily if their KPI reports aren't delivered on time.</t>
  </si>
  <si>
    <t>Hence, by modifying the "% of jobs cancelled" KPI to be binary rather than proportional, exceeding the tolerance for cancleled jobs is penalised heavily.</t>
  </si>
  <si>
    <t>Note - the "% of Jobs Cancelled" is an additional tolerance band for the supplier. Jobs which are likely to run late, can be cancelled rather than counted as defective.</t>
  </si>
  <si>
    <t>Number of Near Miss Incidents</t>
  </si>
  <si>
    <t>Number of Non-Reportable Incidents</t>
  </si>
  <si>
    <t>Number of RIDDOR Incidents</t>
  </si>
  <si>
    <t>Cumulative Number of Hours Worked Before RIDDOR Incident</t>
  </si>
  <si>
    <t>No of RIDDOR Incidents - PPM Defects (Binary)*</t>
  </si>
  <si>
    <t>Personnel Fire Trained - PPM Defects</t>
  </si>
  <si>
    <t>Personnel Induction Trained - PPM Defects</t>
  </si>
  <si>
    <t>Employee H&amp;S Training Plans Up To Date - PPM Defects</t>
  </si>
  <si>
    <t>All Chemicals Stored Per Instructions - PPM Defects</t>
  </si>
  <si>
    <t>COSHH Data &amp; Risk Assessments Up To Date - PPM Defects</t>
  </si>
  <si>
    <t>Env'l Impact Plan Register + Impr't Plans - PPM Defects (Binary)</t>
  </si>
  <si>
    <t>Accident Reporting System - up to dat - PPM Defects (Binary)</t>
  </si>
  <si>
    <t>* Note. Target is Zero. Although the mathematics are wrong, i.e. if there are 2 RIDDOR incidents, then 2,000,000 PPM</t>
  </si>
  <si>
    <t>Average of CR KPIs - Defects PPM</t>
  </si>
  <si>
    <t xml:space="preserve">Average of Quality KPIs - Defects PPM  </t>
  </si>
  <si>
    <t>Overall Average of All Defect PPM KPIs</t>
  </si>
  <si>
    <t>Agreed Additions</t>
  </si>
  <si>
    <t>M&amp;E</t>
  </si>
  <si>
    <t>Sub Total</t>
  </si>
  <si>
    <t>Total Mark-Ups (O/head)</t>
  </si>
  <si>
    <t>BF</t>
  </si>
  <si>
    <t>Basic Labour*</t>
  </si>
  <si>
    <t>Overtime Labour*</t>
  </si>
  <si>
    <t>*=Net of Mark-Up</t>
  </si>
  <si>
    <t>Salaries*</t>
  </si>
  <si>
    <t>Vehicles*</t>
  </si>
  <si>
    <t>Materials*</t>
  </si>
  <si>
    <t>Sub Con*</t>
  </si>
  <si>
    <t>First Tier*</t>
  </si>
  <si>
    <t xml:space="preserve">BF </t>
  </si>
  <si>
    <t>MEBF</t>
  </si>
  <si>
    <t xml:space="preserve">Total CEL &amp; Comp-CEL Work Orders </t>
  </si>
  <si>
    <t xml:space="preserve">1 Person Allocated - No. of WOs </t>
  </si>
  <si>
    <t xml:space="preserve">&gt;5 Persons Allocated - No. of WOs </t>
  </si>
  <si>
    <t>Planned</t>
  </si>
  <si>
    <t xml:space="preserve">0 Person Allocated - No. of WOs </t>
  </si>
  <si>
    <t>Building and Fabric</t>
  </si>
  <si>
    <t>Summer Shutdown Scaffolding (Boilerhouse)</t>
  </si>
  <si>
    <t>Core top up labour EUE team</t>
  </si>
  <si>
    <t>Winter Shutdown Scaffolding (Cooling Towers)</t>
  </si>
  <si>
    <t>HVAC general</t>
  </si>
  <si>
    <t>Core top up labour Graham Lees HVAC team</t>
  </si>
  <si>
    <t>Reactive</t>
  </si>
  <si>
    <t>Forecourt Lighting</t>
  </si>
  <si>
    <t>Building Fabric</t>
  </si>
  <si>
    <t>Ceiling Fire Deep Clean Inspection</t>
  </si>
  <si>
    <t>-</t>
  </si>
  <si>
    <t>Carillion Floor Remedials - Planned</t>
  </si>
  <si>
    <t>Uplift in fire door repairs</t>
  </si>
  <si>
    <t>Mechanical</t>
  </si>
  <si>
    <t>HVAC Core top up</t>
  </si>
  <si>
    <t>Structural Survey - Remedials (high priority)</t>
  </si>
  <si>
    <t>Electrical</t>
  </si>
  <si>
    <t>Handdryer parts</t>
  </si>
  <si>
    <t xml:space="preserve">AHU Conditional Checks  </t>
  </si>
  <si>
    <t>Air Cool Chiller Maint</t>
  </si>
  <si>
    <t xml:space="preserve">Boiler Safety Checks </t>
  </si>
  <si>
    <t>Split Unit Maintenance</t>
  </si>
  <si>
    <t>Fire Doors</t>
  </si>
  <si>
    <t>Buildings &amp; Civils</t>
  </si>
  <si>
    <t>Gas Safety Checks / Water Hygiene/remedials</t>
  </si>
  <si>
    <t>No of Follow On (FO) Work Orders</t>
  </si>
  <si>
    <t>BF - No. CM Work Orders</t>
  </si>
  <si>
    <t>PL - CM - No. "Misc." Work Orders</t>
  </si>
  <si>
    <t>Note. SM Air Compressor Maintenance is sub contracted</t>
  </si>
  <si>
    <t>Mech - PM &amp; SM - Misc - Est. Hrs.</t>
  </si>
  <si>
    <t>Mech - No. of CM Work Orders</t>
  </si>
  <si>
    <t>Elec - CM South - No. "Misc." Work Orders</t>
  </si>
  <si>
    <t>Elec - CM North - No. "Misc." Work Orders</t>
  </si>
  <si>
    <t xml:space="preserve">2 Teams of 2 </t>
  </si>
  <si>
    <t>1 Team of 2</t>
  </si>
  <si>
    <t>Total Est Hours PM  &amp; SM</t>
  </si>
  <si>
    <t>Total Actual Hours PM &amp; SM</t>
  </si>
  <si>
    <t>Budget Total</t>
  </si>
  <si>
    <t>x Cum. Total Budget '09</t>
  </si>
  <si>
    <t>Cumulative Total Actual Cost Year 09</t>
  </si>
  <si>
    <t>Cumulative Total Budget '09</t>
  </si>
  <si>
    <t>No. Doors</t>
  </si>
  <si>
    <t>Hrs Planned Maint (PM)</t>
  </si>
  <si>
    <t>Hrs. Statutory Maint. (SM)</t>
  </si>
  <si>
    <t>Hrs. Corrective Maint. (CM)</t>
  </si>
  <si>
    <t>Hrs. Maint. Total</t>
  </si>
  <si>
    <t>No. Hours/Asset Planned Maint (PM)</t>
  </si>
  <si>
    <t>No. Hours/Asset Statutory Maint (SM)</t>
  </si>
  <si>
    <t>No. Hours/Asset Corrective Maint (CM)</t>
  </si>
  <si>
    <t>No. ????</t>
  </si>
  <si>
    <t>No. Taps / Showers</t>
  </si>
  <si>
    <t>No. Signs</t>
  </si>
  <si>
    <t>No. ???</t>
  </si>
  <si>
    <t>No. Toilets</t>
  </si>
  <si>
    <t>No. Switchgear / Distribution Boards</t>
  </si>
  <si>
    <t>No. Lamps / Lighting</t>
  </si>
  <si>
    <t>No. Chiller / Split Units</t>
  </si>
  <si>
    <t>No. Others (Misc)</t>
  </si>
  <si>
    <t xml:space="preserve">Travel Time </t>
  </si>
  <si>
    <t>All</t>
  </si>
  <si>
    <t>Follow On Work Orders</t>
  </si>
  <si>
    <t>No. All "Misc." - Work Order</t>
  </si>
  <si>
    <t xml:space="preserve">PPM Defects - No. of Persons Allocated &gt;1 </t>
  </si>
  <si>
    <t>PPM Defects - Actual Vs Planned/Target Travel Time (Binary)</t>
  </si>
  <si>
    <t>PPM Defects - Actual Vs Planned/Target Hrs.</t>
  </si>
  <si>
    <t>Planned &amp; Statutory Hrs. vs. Corrective Maintenance Hrs. / Unit</t>
  </si>
  <si>
    <t>Total No. of  OOS &amp; H&amp;S Work Orders</t>
  </si>
  <si>
    <t>No. of  OOS &amp; H&amp;S Work Orders without calls from BSC</t>
  </si>
  <si>
    <t xml:space="preserve">PPM Defects - BSC </t>
  </si>
  <si>
    <t>of Maximo Work Orders Approved in &lt; [5] working days</t>
  </si>
  <si>
    <t xml:space="preserve">Number of PM work orders in COMP-CEL status. </t>
  </si>
  <si>
    <t>No. of CMs with H&amp;S flag accepted in month.</t>
  </si>
  <si>
    <t>Number of PM work orders accepted  in the month*</t>
  </si>
  <si>
    <t>*= All work orders accepted but not completed from the previous months(s) will be added to the measurement month work orders.</t>
  </si>
  <si>
    <t>All calculations will be run five days after month end.</t>
  </si>
  <si>
    <t>No. of CMs with OOS flag in the month, attended in &lt; 2 hours of reported date*.</t>
  </si>
  <si>
    <t>No of work orders at AP-WCON status (Binary)</t>
  </si>
  <si>
    <t>No. of CMs with H&amp;S flag attended in &lt; 2 hours of reported date*.</t>
  </si>
  <si>
    <t>No. of CMs in COMP-CEL status in the month.*</t>
  </si>
  <si>
    <t>No. of CM work orders accepted in the month.</t>
  </si>
  <si>
    <t>Persons Allocated to No. of Work Orders</t>
  </si>
  <si>
    <t xml:space="preserve">2 Persons Allocated - No. of WOs </t>
  </si>
  <si>
    <t xml:space="preserve">3 Persons Allocated - No. of WOs </t>
  </si>
  <si>
    <t xml:space="preserve">4 Persons Allocated - No. of WOs </t>
  </si>
  <si>
    <t xml:space="preserve">5 Persons Allocated - No. of WOs </t>
  </si>
  <si>
    <t>Cost / Productivity Summary</t>
  </si>
  <si>
    <t>Need a robust definition here</t>
  </si>
  <si>
    <r>
      <t>Cost (Actual vs Planned Hrs.)</t>
    </r>
    <r>
      <rPr>
        <sz val="10"/>
        <rFont val="Arial"/>
        <family val="0"/>
      </rPr>
      <t xml:space="preserve"> - feeds graphs and is compared to budgeted spend below on </t>
    </r>
    <r>
      <rPr>
        <b/>
        <sz val="10"/>
        <rFont val="Arial"/>
        <family val="2"/>
      </rPr>
      <t>Cost (Summary)</t>
    </r>
    <r>
      <rPr>
        <sz val="10"/>
        <rFont val="Arial"/>
        <family val="0"/>
      </rPr>
      <t xml:space="preserve"> page:</t>
    </r>
  </si>
  <si>
    <t>Quarterly Target (Hrs./Work Order)</t>
  </si>
  <si>
    <t>Quarterly Target (Hrs.)</t>
  </si>
  <si>
    <t>Average Travel Time / Work Order (Hrs.)</t>
  </si>
  <si>
    <t>PPM Defects - Target Cost (Binary)</t>
  </si>
  <si>
    <t xml:space="preserve">PPM of Follow On Work Orders </t>
  </si>
  <si>
    <t>PPM Cost Target</t>
  </si>
  <si>
    <t>Cost / Productivity Pass/Fail</t>
  </si>
  <si>
    <r>
      <t>Cost (Actual) vs Budget</t>
    </r>
    <r>
      <rPr>
        <sz val="10"/>
        <rFont val="Arial"/>
        <family val="0"/>
      </rPr>
      <t xml:space="preserve"> - feeds </t>
    </r>
    <r>
      <rPr>
        <b/>
        <sz val="10"/>
        <rFont val="Arial"/>
        <family val="2"/>
      </rPr>
      <t>Cost (Summary)</t>
    </r>
    <r>
      <rPr>
        <sz val="10"/>
        <rFont val="Arial"/>
        <family val="0"/>
      </rPr>
      <t xml:space="preserve"> page:</t>
    </r>
  </si>
  <si>
    <t>Total Target Hours CM</t>
  </si>
  <si>
    <t>Work Orders with OoS flag Attendance &lt; 2hrs (Binary)</t>
  </si>
  <si>
    <t>Work Orders with H&amp;S flag Attendance &lt; 2hrs (Binary)</t>
  </si>
  <si>
    <t>Completion of CM  work orders in the month</t>
  </si>
  <si>
    <t>Completion of PM  work orders in the month</t>
  </si>
  <si>
    <t>NB if APWCon orders are &gt;500 Carillion automatically fail six KPIs under current incentivisation mechanism.</t>
  </si>
  <si>
    <t>Completion of SI &amp; SM work orders in the month</t>
  </si>
  <si>
    <t xml:space="preserve">Number of SI &amp; SM work orders in COMP-CEL status. </t>
  </si>
  <si>
    <t>Number of SI &amp; SM work orders accepted  in the month*</t>
  </si>
  <si>
    <t>Actual MEBF Spend</t>
  </si>
  <si>
    <t>INCOMPLETE</t>
  </si>
  <si>
    <t>Elec - CM North - "Misc." - Hrs.</t>
  </si>
  <si>
    <t>Elec - CM South - "Misc." - Hrs.</t>
  </si>
  <si>
    <t>All "Misc." - Hrs.</t>
  </si>
  <si>
    <t>Elec - SM - RCD Testing - Hours</t>
  </si>
  <si>
    <t>Elec - PM - IEE Statutory Test -  Hours</t>
  </si>
  <si>
    <t>Elec - SM - Escape Lighting Stat Insp - Hours</t>
  </si>
  <si>
    <t>Elec - PM - Emerg Exit Sign - Repl Controls - Hrs.</t>
  </si>
  <si>
    <t xml:space="preserve">Mech - CM - Hours </t>
  </si>
  <si>
    <t>Boiler - SM - Gas Safety Shut Off - Hrs.</t>
  </si>
  <si>
    <t>Boiler - SM - Burner Maintenance - Hrs.</t>
  </si>
  <si>
    <t>Boiler - PM - Burner Maintenance - Hrs.</t>
  </si>
  <si>
    <t>Aircon - PM - Chiller Maintenance -  Hrs.</t>
  </si>
  <si>
    <t>Aircon - PM - Split Unit Maintenance - Hrs.</t>
  </si>
  <si>
    <t>Aircon - PM - Air Con Unit Maintenance - Hrs.</t>
  </si>
  <si>
    <t>PL - CM - "Misc." - Hrs.</t>
  </si>
  <si>
    <t>BF - CM - Hrs.</t>
  </si>
  <si>
    <t>PL - PM - Urinal Jetting - Hrs.</t>
  </si>
  <si>
    <t>PL - SM - Tap Temp Testing - Hrs.</t>
  </si>
  <si>
    <t>PL - PM - Flushing Remote Areas -  Hrs.</t>
  </si>
  <si>
    <t>PL - SM - Shower Heads - Hrs.</t>
  </si>
  <si>
    <t>PL - PM &amp; SM - Misc - Hrs.</t>
  </si>
  <si>
    <t>BF - SM - Fire Doors - Hrs.</t>
  </si>
  <si>
    <t>BF - SM - Hoardings - Hrs.</t>
  </si>
  <si>
    <t>BF - PM - Misc - Hrs.</t>
  </si>
  <si>
    <t>Est/Target</t>
  </si>
  <si>
    <t>Actual</t>
  </si>
  <si>
    <t>Doors</t>
  </si>
  <si>
    <t>????</t>
  </si>
  <si>
    <t>Taps/Showers</t>
  </si>
  <si>
    <t>Signs</t>
  </si>
  <si>
    <t>Toilets</t>
  </si>
  <si>
    <t>Switchgear / Distribution Boards</t>
  </si>
  <si>
    <t>Lamps / Lighting</t>
  </si>
  <si>
    <t>Chiller / Split Units</t>
  </si>
  <si>
    <t>Others (Misc)</t>
  </si>
  <si>
    <t>Partnered Audits Pass - PPM Defects (Binary)</t>
  </si>
  <si>
    <t>PPM Defects - Cost Actual</t>
  </si>
  <si>
    <t>Average of KPIs on &lt;Client&gt; - Defects PPM</t>
  </si>
  <si>
    <t>Supplier Relationship Management Scorecard</t>
  </si>
  <si>
    <t>Corporate Responsibility</t>
  </si>
  <si>
    <t>No. of Personnel (not FTEs) Employed at &lt;Plants&gt;</t>
  </si>
  <si>
    <t>Quality</t>
  </si>
  <si>
    <t>Delivery</t>
  </si>
  <si>
    <t>KPIs on &lt;Client&gt;</t>
  </si>
  <si>
    <t>Other</t>
  </si>
  <si>
    <t>Source: [      ] - Final Payments As Adjusted.</t>
  </si>
  <si>
    <t>Budget ("Dummy" figures)</t>
  </si>
  <si>
    <t xml:space="preserve">These figures have been modified to ensure that they do not reflect reality, to protect confidentiality. </t>
  </si>
  <si>
    <t xml:space="preserve">These "cost profiles" have been altered to protect confidentiality </t>
  </si>
  <si>
    <t>Currently no service level agreed here. Total hours per unit should show a decline. Could offer &lt;Supplier&gt; a bonus to incentivise them to reduce the total number of hours of maintenance per unit or overall</t>
  </si>
  <si>
    <t>Planned vs Reactive Hrs.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</si>
</sst>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_-* #,##0.0_-;\-* #,##0.0_-;_-* &quot;-&quot;??_-;_-@_-"/>
    <numFmt numFmtId="167" formatCode="_-* #,##0_-;\-* #,##0_-;_-* &quot;-&quot;??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%"/>
    <numFmt numFmtId="174" formatCode="&quot;£&quot;#,##0.00;[Red]\(&quot;£&quot;#,##0.00\)"/>
    <numFmt numFmtId="175" formatCode="&quot;£&quot;#,##0.0;[Red]\(&quot;£&quot;#,##0.0\)"/>
    <numFmt numFmtId="176" formatCode="&quot;£&quot;#,##0;[Red]\(&quot;£&quot;#,##0\)"/>
    <numFmt numFmtId="177" formatCode="_-&quot;£&quot;* #,##0.0_-;\-&quot;£&quot;* #,##0.0_-;_-&quot;£&quot;* &quot;-&quot;??_-;_-@_-"/>
    <numFmt numFmtId="178" formatCode="_-&quot;£&quot;* #,##0_-;\-&quot;£&quot;* #,##0_-;_-&quot;£&quot;* &quot;-&quot;??_-;_-@_-"/>
    <numFmt numFmtId="179" formatCode="&quot;£&quot;#,##0.00"/>
    <numFmt numFmtId="180" formatCode="_-&quot;£&quot;* #,##0.000_-;\-&quot;£&quot;* #,##0.000_-;_-&quot;£&quot;* &quot;-&quot;??_-;_-@_-"/>
    <numFmt numFmtId="181" formatCode="#,##0.000"/>
    <numFmt numFmtId="182" formatCode="0.00000000"/>
    <numFmt numFmtId="183" formatCode="_-&quot;£&quot;* #,##0.0000_-;\-&quot;£&quot;* #,##0.0000_-;_-&quot;£&quot;* &quot;-&quot;??_-;_-@_-"/>
    <numFmt numFmtId="184" formatCode="_-&quot;£&quot;* #,##0.00000_-;\-&quot;£&quot;* #,##0.00000_-;_-&quot;£&quot;* &quot;-&quot;??_-;_-@_-"/>
    <numFmt numFmtId="185" formatCode="_-&quot;£&quot;* #,##0.000000_-;\-&quot;£&quot;* #,##0.000000_-;_-&quot;£&quot;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0000_-;\-* #,##0.00000_-;_-* &quot;-&quot;??_-;_-@_-"/>
    <numFmt numFmtId="189" formatCode="_-* #,##0.000000_-;\-* #,##0.000000_-;_-* &quot;-&quot;??_-;_-@_-"/>
    <numFmt numFmtId="190" formatCode="_-* #,##0.0000000_-;\-* #,##0.0000000_-;_-* &quot;-&quot;??_-;_-@_-"/>
    <numFmt numFmtId="191" formatCode="_-* #,##0.0_-;\-* #,##0.0_-;_-* &quot;-&quot;?_-;_-@_-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.25"/>
      <name val="Arial"/>
      <family val="0"/>
    </font>
    <font>
      <sz val="9.5"/>
      <name val="Arial"/>
      <family val="2"/>
    </font>
    <font>
      <sz val="10.25"/>
      <name val="Arial"/>
      <family val="0"/>
    </font>
    <font>
      <b/>
      <sz val="13.5"/>
      <name val="Arial"/>
      <family val="2"/>
    </font>
    <font>
      <b/>
      <sz val="9.5"/>
      <name val="Arial"/>
      <family val="2"/>
    </font>
    <font>
      <b/>
      <sz val="9.75"/>
      <name val="Arial"/>
      <family val="2"/>
    </font>
    <font>
      <b/>
      <sz val="8"/>
      <name val="Arial"/>
      <family val="0"/>
    </font>
    <font>
      <sz val="5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10.75"/>
      <name val="Arial"/>
      <family val="0"/>
    </font>
    <font>
      <b/>
      <sz val="16.5"/>
      <name val="Arial"/>
      <family val="0"/>
    </font>
    <font>
      <sz val="4.5"/>
      <name val="Arial"/>
      <family val="2"/>
    </font>
    <font>
      <b/>
      <sz val="10.5"/>
      <name val="Arial"/>
      <family val="0"/>
    </font>
    <font>
      <b/>
      <sz val="14"/>
      <name val="Arial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12"/>
      <name val="Arial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2"/>
      <color indexed="55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5.75"/>
      <name val="Arial"/>
      <family val="0"/>
    </font>
    <font>
      <sz val="9.75"/>
      <name val="Arial"/>
      <family val="2"/>
    </font>
    <font>
      <sz val="5.25"/>
      <name val="Arial"/>
      <family val="0"/>
    </font>
    <font>
      <b/>
      <sz val="8.75"/>
      <name val="Arial"/>
      <family val="0"/>
    </font>
    <font>
      <sz val="8.75"/>
      <name val="Arial"/>
      <family val="2"/>
    </font>
    <font>
      <b/>
      <sz val="14.75"/>
      <name val="Arial"/>
      <family val="0"/>
    </font>
    <font>
      <sz val="10"/>
      <color indexed="9"/>
      <name val="Arial"/>
      <family val="0"/>
    </font>
    <font>
      <sz val="10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Calibri"/>
      <family val="0"/>
    </font>
    <font>
      <sz val="10"/>
      <color indexed="13"/>
      <name val="Arial"/>
      <family val="2"/>
    </font>
    <font>
      <sz val="16"/>
      <color indexed="55"/>
      <name val="Arial"/>
      <family val="0"/>
    </font>
    <font>
      <sz val="8"/>
      <color indexed="9"/>
      <name val="Century Gothic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9" fontId="0" fillId="2" borderId="8" xfId="0" applyNumberFormat="1" applyFill="1" applyBorder="1" applyAlignment="1">
      <alignment horizontal="center"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3" fontId="0" fillId="3" borderId="0" xfId="0" applyNumberFormat="1" applyFill="1" applyAlignment="1">
      <alignment/>
    </xf>
    <xf numFmtId="3" fontId="1" fillId="3" borderId="0" xfId="0" applyNumberFormat="1" applyFont="1" applyFill="1" applyAlignment="1">
      <alignment/>
    </xf>
    <xf numFmtId="0" fontId="0" fillId="3" borderId="0" xfId="0" applyFill="1" applyBorder="1" applyAlignment="1">
      <alignment/>
    </xf>
    <xf numFmtId="3" fontId="0" fillId="3" borderId="0" xfId="0" applyNumberForma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1" fillId="3" borderId="0" xfId="0" applyFont="1" applyFill="1" applyBorder="1" applyAlignment="1">
      <alignment horizontal="right"/>
    </xf>
    <xf numFmtId="9" fontId="0" fillId="3" borderId="0" xfId="0" applyNumberForma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 horizontal="center"/>
    </xf>
    <xf numFmtId="0" fontId="2" fillId="3" borderId="0" xfId="0" applyFont="1" applyFill="1" applyAlignment="1">
      <alignment/>
    </xf>
    <xf numFmtId="3" fontId="1" fillId="3" borderId="0" xfId="0" applyNumberFormat="1" applyFont="1" applyFill="1" applyBorder="1" applyAlignment="1">
      <alignment/>
    </xf>
    <xf numFmtId="3" fontId="0" fillId="3" borderId="0" xfId="15" applyNumberFormat="1" applyFill="1" applyBorder="1" applyAlignment="1">
      <alignment/>
    </xf>
    <xf numFmtId="0" fontId="2" fillId="3" borderId="0" xfId="0" applyFont="1" applyFill="1" applyAlignment="1">
      <alignment horizontal="center"/>
    </xf>
    <xf numFmtId="0" fontId="0" fillId="3" borderId="0" xfId="0" applyFont="1" applyFill="1" applyAlignment="1">
      <alignment/>
    </xf>
    <xf numFmtId="0" fontId="0" fillId="4" borderId="0" xfId="0" applyFill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5" borderId="0" xfId="0" applyFill="1" applyBorder="1" applyAlignment="1">
      <alignment/>
    </xf>
    <xf numFmtId="167" fontId="1" fillId="3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3" fontId="8" fillId="3" borderId="0" xfId="0" applyNumberFormat="1" applyFont="1" applyFill="1" applyAlignment="1">
      <alignment/>
    </xf>
    <xf numFmtId="3" fontId="9" fillId="3" borderId="0" xfId="0" applyNumberFormat="1" applyFont="1" applyFill="1" applyAlignment="1">
      <alignment/>
    </xf>
    <xf numFmtId="0" fontId="0" fillId="3" borderId="0" xfId="0" applyFill="1" applyAlignment="1">
      <alignment horizontal="right"/>
    </xf>
    <xf numFmtId="0" fontId="9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0" fillId="3" borderId="0" xfId="0" applyFill="1" applyAlignment="1" quotePrefix="1">
      <alignment/>
    </xf>
    <xf numFmtId="174" fontId="0" fillId="3" borderId="0" xfId="0" applyNumberForma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0" fillId="3" borderId="0" xfId="0" applyFill="1" applyBorder="1" applyAlignment="1">
      <alignment horizontal="right"/>
    </xf>
    <xf numFmtId="0" fontId="20" fillId="3" borderId="0" xfId="0" applyFont="1" applyFill="1" applyAlignment="1">
      <alignment/>
    </xf>
    <xf numFmtId="178" fontId="0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0" fontId="25" fillId="3" borderId="0" xfId="0" applyFont="1" applyFill="1" applyAlignment="1">
      <alignment horizontal="left"/>
    </xf>
    <xf numFmtId="0" fontId="0" fillId="3" borderId="0" xfId="0" applyFont="1" applyFill="1" applyAlignment="1">
      <alignment horizontal="left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26" fillId="3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78" fontId="1" fillId="3" borderId="0" xfId="0" applyNumberFormat="1" applyFont="1" applyFill="1" applyAlignment="1">
      <alignment/>
    </xf>
    <xf numFmtId="178" fontId="1" fillId="3" borderId="0" xfId="17" applyNumberFormat="1" applyFont="1" applyFill="1" applyAlignment="1">
      <alignment/>
    </xf>
    <xf numFmtId="43" fontId="0" fillId="3" borderId="0" xfId="0" applyNumberFormat="1" applyFill="1" applyAlignment="1">
      <alignment/>
    </xf>
    <xf numFmtId="0" fontId="0" fillId="3" borderId="0" xfId="0" applyFont="1" applyFill="1" applyBorder="1" applyAlignment="1">
      <alignment/>
    </xf>
    <xf numFmtId="3" fontId="26" fillId="3" borderId="0" xfId="0" applyNumberFormat="1" applyFont="1" applyFill="1" applyAlignment="1">
      <alignment/>
    </xf>
    <xf numFmtId="2" fontId="26" fillId="3" borderId="0" xfId="0" applyNumberFormat="1" applyFont="1" applyFill="1" applyAlignment="1">
      <alignment/>
    </xf>
    <xf numFmtId="0" fontId="0" fillId="3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8" borderId="0" xfId="0" applyFill="1" applyBorder="1" applyAlignment="1">
      <alignment/>
    </xf>
    <xf numFmtId="1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3" borderId="0" xfId="0" applyFont="1" applyFill="1" applyAlignment="1">
      <alignment/>
    </xf>
    <xf numFmtId="178" fontId="29" fillId="3" borderId="0" xfId="17" applyNumberFormat="1" applyFont="1" applyFill="1" applyAlignment="1">
      <alignment/>
    </xf>
    <xf numFmtId="0" fontId="0" fillId="3" borderId="0" xfId="0" applyFont="1" applyFill="1" applyAlignment="1">
      <alignment/>
    </xf>
    <xf numFmtId="178" fontId="29" fillId="3" borderId="0" xfId="17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178" fontId="30" fillId="3" borderId="0" xfId="17" applyNumberFormat="1" applyFont="1" applyFill="1" applyAlignment="1">
      <alignment/>
    </xf>
    <xf numFmtId="0" fontId="0" fillId="3" borderId="0" xfId="0" applyFont="1" applyFill="1" applyAlignment="1">
      <alignment/>
    </xf>
    <xf numFmtId="178" fontId="0" fillId="3" borderId="0" xfId="0" applyNumberFormat="1" applyFont="1" applyFill="1" applyAlignment="1">
      <alignment/>
    </xf>
    <xf numFmtId="178" fontId="0" fillId="3" borderId="0" xfId="0" applyNumberFormat="1" applyFont="1" applyFill="1" applyAlignment="1">
      <alignment/>
    </xf>
    <xf numFmtId="178" fontId="0" fillId="3" borderId="0" xfId="0" applyNumberFormat="1" applyFont="1" applyFill="1" applyBorder="1" applyAlignment="1">
      <alignment/>
    </xf>
    <xf numFmtId="0" fontId="0" fillId="3" borderId="0" xfId="0" applyFill="1" applyBorder="1" applyAlignment="1" quotePrefix="1">
      <alignment/>
    </xf>
    <xf numFmtId="0" fontId="2" fillId="3" borderId="0" xfId="0" applyFont="1" applyFill="1" applyBorder="1" applyAlignment="1">
      <alignment/>
    </xf>
    <xf numFmtId="1" fontId="0" fillId="2" borderId="9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1" fontId="0" fillId="2" borderId="11" xfId="0" applyNumberFormat="1" applyFont="1" applyFill="1" applyBorder="1" applyAlignment="1">
      <alignment horizontal="right"/>
    </xf>
    <xf numFmtId="43" fontId="0" fillId="3" borderId="0" xfId="15" applyNumberFormat="1" applyFill="1" applyAlignment="1">
      <alignment horizontal="right"/>
    </xf>
    <xf numFmtId="43" fontId="0" fillId="3" borderId="0" xfId="0" applyNumberFormat="1" applyFill="1" applyAlignment="1">
      <alignment horizontal="right"/>
    </xf>
    <xf numFmtId="1" fontId="0" fillId="3" borderId="0" xfId="0" applyNumberFormat="1" applyFill="1" applyBorder="1" applyAlignment="1">
      <alignment/>
    </xf>
    <xf numFmtId="1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2" borderId="3" xfId="0" applyNumberFormat="1" applyFill="1" applyBorder="1" applyAlignment="1">
      <alignment horizontal="right"/>
    </xf>
    <xf numFmtId="1" fontId="0" fillId="2" borderId="4" xfId="0" applyNumberForma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1" fontId="0" fillId="2" borderId="13" xfId="0" applyNumberFormat="1" applyFill="1" applyBorder="1" applyAlignment="1">
      <alignment horizontal="right"/>
    </xf>
    <xf numFmtId="1" fontId="0" fillId="2" borderId="5" xfId="0" applyNumberFormat="1" applyFill="1" applyBorder="1" applyAlignment="1">
      <alignment horizontal="right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3" borderId="0" xfId="0" applyNumberFormat="1" applyFont="1" applyFill="1" applyAlignment="1">
      <alignment horizontal="left"/>
    </xf>
    <xf numFmtId="0" fontId="27" fillId="3" borderId="0" xfId="0" applyFont="1" applyFill="1" applyAlignment="1">
      <alignment/>
    </xf>
    <xf numFmtId="178" fontId="26" fillId="3" borderId="0" xfId="0" applyNumberFormat="1" applyFont="1" applyFill="1" applyAlignment="1">
      <alignment/>
    </xf>
    <xf numFmtId="178" fontId="26" fillId="3" borderId="0" xfId="0" applyNumberFormat="1" applyFont="1" applyFill="1" applyAlignment="1">
      <alignment/>
    </xf>
    <xf numFmtId="0" fontId="26" fillId="3" borderId="0" xfId="0" applyFont="1" applyFill="1" applyAlignment="1">
      <alignment/>
    </xf>
    <xf numFmtId="1" fontId="26" fillId="3" borderId="0" xfId="0" applyNumberFormat="1" applyFont="1" applyFill="1" applyAlignment="1">
      <alignment/>
    </xf>
    <xf numFmtId="0" fontId="27" fillId="3" borderId="0" xfId="0" applyFont="1" applyFill="1" applyAlignment="1">
      <alignment/>
    </xf>
    <xf numFmtId="0" fontId="26" fillId="3" borderId="0" xfId="0" applyFont="1" applyFill="1" applyAlignment="1">
      <alignment/>
    </xf>
    <xf numFmtId="164" fontId="0" fillId="3" borderId="0" xfId="0" applyNumberFormat="1" applyFill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/>
    </xf>
    <xf numFmtId="0" fontId="31" fillId="3" borderId="0" xfId="0" applyFont="1" applyFill="1" applyAlignment="1">
      <alignment/>
    </xf>
    <xf numFmtId="173" fontId="0" fillId="2" borderId="8" xfId="0" applyNumberFormat="1" applyFont="1" applyFill="1" applyBorder="1" applyAlignment="1">
      <alignment horizontal="center"/>
    </xf>
    <xf numFmtId="173" fontId="1" fillId="3" borderId="0" xfId="0" applyNumberFormat="1" applyFont="1" applyFill="1" applyBorder="1" applyAlignment="1">
      <alignment horizontal="center"/>
    </xf>
    <xf numFmtId="178" fontId="27" fillId="3" borderId="0" xfId="0" applyNumberFormat="1" applyFont="1" applyFill="1" applyAlignment="1">
      <alignment/>
    </xf>
    <xf numFmtId="3" fontId="27" fillId="3" borderId="0" xfId="0" applyNumberFormat="1" applyFont="1" applyFill="1" applyBorder="1" applyAlignment="1">
      <alignment/>
    </xf>
    <xf numFmtId="0" fontId="0" fillId="9" borderId="0" xfId="0" applyFill="1" applyAlignment="1">
      <alignment/>
    </xf>
    <xf numFmtId="0" fontId="2" fillId="7" borderId="0" xfId="0" applyFont="1" applyFill="1" applyAlignment="1">
      <alignment/>
    </xf>
    <xf numFmtId="0" fontId="0" fillId="7" borderId="0" xfId="0" applyFill="1" applyAlignment="1">
      <alignment/>
    </xf>
    <xf numFmtId="0" fontId="2" fillId="4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/>
    </xf>
    <xf numFmtId="0" fontId="20" fillId="3" borderId="0" xfId="0" applyFont="1" applyFill="1" applyAlignment="1">
      <alignment horizontal="left"/>
    </xf>
    <xf numFmtId="0" fontId="2" fillId="10" borderId="0" xfId="0" applyFont="1" applyFill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2" fillId="10" borderId="0" xfId="0" applyFont="1" applyFill="1" applyBorder="1" applyAlignment="1">
      <alignment/>
    </xf>
    <xf numFmtId="0" fontId="0" fillId="11" borderId="0" xfId="0" applyFill="1" applyAlignment="1">
      <alignment/>
    </xf>
    <xf numFmtId="0" fontId="4" fillId="3" borderId="0" xfId="0" applyFont="1" applyFill="1" applyAlignment="1">
      <alignment horizontal="left"/>
    </xf>
    <xf numFmtId="0" fontId="4" fillId="3" borderId="0" xfId="0" applyFont="1" applyFill="1" applyBorder="1" applyAlignment="1">
      <alignment/>
    </xf>
    <xf numFmtId="0" fontId="32" fillId="3" borderId="0" xfId="0" applyFont="1" applyFill="1" applyAlignment="1">
      <alignment horizontal="left"/>
    </xf>
    <xf numFmtId="164" fontId="0" fillId="3" borderId="0" xfId="0" applyNumberFormat="1" applyFill="1" applyBorder="1" applyAlignment="1">
      <alignment horizontal="right"/>
    </xf>
    <xf numFmtId="0" fontId="5" fillId="3" borderId="0" xfId="0" applyFont="1" applyFill="1" applyAlignment="1">
      <alignment horizontal="left"/>
    </xf>
    <xf numFmtId="1" fontId="0" fillId="2" borderId="5" xfId="0" applyNumberFormat="1" applyFill="1" applyBorder="1" applyAlignment="1">
      <alignment/>
    </xf>
    <xf numFmtId="0" fontId="33" fillId="3" borderId="0" xfId="0" applyFont="1" applyFill="1" applyAlignment="1">
      <alignment horizontal="right"/>
    </xf>
    <xf numFmtId="0" fontId="25" fillId="3" borderId="0" xfId="0" applyFont="1" applyFill="1" applyAlignment="1">
      <alignment/>
    </xf>
    <xf numFmtId="164" fontId="0" fillId="2" borderId="17" xfId="0" applyNumberFormat="1" applyFont="1" applyFill="1" applyBorder="1" applyAlignment="1">
      <alignment horizontal="right"/>
    </xf>
    <xf numFmtId="164" fontId="0" fillId="2" borderId="9" xfId="0" applyNumberFormat="1" applyFill="1" applyBorder="1" applyAlignment="1">
      <alignment horizontal="right"/>
    </xf>
    <xf numFmtId="164" fontId="0" fillId="2" borderId="10" xfId="0" applyNumberFormat="1" applyFill="1" applyBorder="1" applyAlignment="1">
      <alignment horizontal="right"/>
    </xf>
    <xf numFmtId="164" fontId="0" fillId="2" borderId="11" xfId="0" applyNumberFormat="1" applyFill="1" applyBorder="1" applyAlignment="1">
      <alignment horizontal="right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34" fillId="3" borderId="0" xfId="0" applyFont="1" applyFill="1" applyBorder="1" applyAlignment="1">
      <alignment/>
    </xf>
    <xf numFmtId="3" fontId="4" fillId="3" borderId="0" xfId="0" applyNumberFormat="1" applyFont="1" applyFill="1" applyAlignment="1">
      <alignment/>
    </xf>
    <xf numFmtId="167" fontId="0" fillId="3" borderId="0" xfId="15" applyNumberFormat="1" applyFill="1" applyAlignment="1">
      <alignment/>
    </xf>
    <xf numFmtId="167" fontId="0" fillId="2" borderId="8" xfId="15" applyNumberFormat="1" applyFont="1" applyFill="1" applyBorder="1" applyAlignment="1">
      <alignment horizontal="right"/>
    </xf>
    <xf numFmtId="167" fontId="0" fillId="3" borderId="0" xfId="15" applyNumberFormat="1" applyFont="1" applyFill="1" applyBorder="1" applyAlignment="1">
      <alignment horizontal="right"/>
    </xf>
    <xf numFmtId="3" fontId="35" fillId="3" borderId="0" xfId="0" applyNumberFormat="1" applyFont="1" applyFill="1" applyAlignment="1">
      <alignment horizontal="center"/>
    </xf>
    <xf numFmtId="167" fontId="0" fillId="2" borderId="8" xfId="15" applyNumberFormat="1" applyFill="1" applyBorder="1" applyAlignment="1">
      <alignment horizontal="center"/>
    </xf>
    <xf numFmtId="2" fontId="0" fillId="3" borderId="0" xfId="0" applyNumberFormat="1" applyFill="1" applyAlignment="1">
      <alignment/>
    </xf>
    <xf numFmtId="2" fontId="0" fillId="3" borderId="0" xfId="0" applyNumberFormat="1" applyFill="1" applyBorder="1" applyAlignment="1">
      <alignment/>
    </xf>
    <xf numFmtId="2" fontId="0" fillId="5" borderId="0" xfId="0" applyNumberFormat="1" applyFill="1" applyAlignment="1">
      <alignment/>
    </xf>
    <xf numFmtId="2" fontId="0" fillId="3" borderId="0" xfId="0" applyNumberFormat="1" applyFill="1" applyAlignment="1">
      <alignment horizontal="left"/>
    </xf>
    <xf numFmtId="2" fontId="0" fillId="10" borderId="0" xfId="0" applyNumberFormat="1" applyFill="1" applyAlignment="1">
      <alignment/>
    </xf>
    <xf numFmtId="2" fontId="0" fillId="11" borderId="0" xfId="0" applyNumberFormat="1" applyFill="1" applyAlignment="1">
      <alignment/>
    </xf>
    <xf numFmtId="2" fontId="0" fillId="7" borderId="0" xfId="0" applyNumberFormat="1" applyFill="1" applyAlignment="1">
      <alignment/>
    </xf>
    <xf numFmtId="2" fontId="0" fillId="9" borderId="0" xfId="0" applyNumberFormat="1" applyFill="1" applyAlignment="1">
      <alignment/>
    </xf>
    <xf numFmtId="2" fontId="0" fillId="3" borderId="0" xfId="0" applyNumberFormat="1" applyFill="1" applyAlignment="1">
      <alignment horizontal="right"/>
    </xf>
    <xf numFmtId="1" fontId="28" fillId="3" borderId="0" xfId="0" applyNumberFormat="1" applyFont="1" applyFill="1" applyBorder="1" applyAlignment="1">
      <alignment horizontal="right"/>
    </xf>
    <xf numFmtId="1" fontId="0" fillId="3" borderId="0" xfId="0" applyNumberFormat="1" applyFill="1" applyBorder="1" applyAlignment="1">
      <alignment horizontal="right"/>
    </xf>
    <xf numFmtId="1" fontId="0" fillId="2" borderId="18" xfId="0" applyNumberFormat="1" applyFill="1" applyBorder="1" applyAlignment="1">
      <alignment horizontal="right"/>
    </xf>
    <xf numFmtId="2" fontId="0" fillId="3" borderId="0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1" fontId="0" fillId="2" borderId="19" xfId="0" applyNumberFormat="1" applyFill="1" applyBorder="1" applyAlignment="1">
      <alignment horizontal="right"/>
    </xf>
    <xf numFmtId="0" fontId="3" fillId="3" borderId="0" xfId="0" applyFont="1" applyFill="1" applyAlignment="1">
      <alignment/>
    </xf>
    <xf numFmtId="178" fontId="42" fillId="3" borderId="0" xfId="0" applyNumberFormat="1" applyFont="1" applyFill="1" applyAlignment="1">
      <alignment horizontal="right"/>
    </xf>
    <xf numFmtId="178" fontId="42" fillId="3" borderId="0" xfId="0" applyNumberFormat="1" applyFont="1" applyFill="1" applyAlignment="1">
      <alignment/>
    </xf>
    <xf numFmtId="178" fontId="42" fillId="3" borderId="0" xfId="0" applyNumberFormat="1" applyFont="1" applyFill="1" applyAlignment="1">
      <alignment/>
    </xf>
    <xf numFmtId="178" fontId="43" fillId="3" borderId="0" xfId="17" applyNumberFormat="1" applyFont="1" applyFill="1" applyAlignment="1">
      <alignment/>
    </xf>
    <xf numFmtId="0" fontId="42" fillId="3" borderId="0" xfId="0" applyFont="1" applyFill="1" applyAlignment="1">
      <alignment/>
    </xf>
    <xf numFmtId="178" fontId="44" fillId="3" borderId="0" xfId="0" applyNumberFormat="1" applyFont="1" applyFill="1" applyAlignment="1">
      <alignment/>
    </xf>
    <xf numFmtId="178" fontId="42" fillId="3" borderId="0" xfId="0" applyNumberFormat="1" applyFont="1" applyFill="1" applyBorder="1" applyAlignment="1">
      <alignment/>
    </xf>
    <xf numFmtId="178" fontId="42" fillId="3" borderId="0" xfId="0" applyNumberFormat="1" applyFont="1" applyFill="1" applyAlignment="1">
      <alignment/>
    </xf>
    <xf numFmtId="178" fontId="43" fillId="3" borderId="0" xfId="17" applyNumberFormat="1" applyFont="1" applyFill="1" applyBorder="1" applyAlignment="1">
      <alignment/>
    </xf>
    <xf numFmtId="178" fontId="43" fillId="3" borderId="0" xfId="17" applyNumberFormat="1" applyFont="1" applyFill="1" applyBorder="1" applyAlignment="1">
      <alignment/>
    </xf>
    <xf numFmtId="178" fontId="44" fillId="3" borderId="0" xfId="0" applyNumberFormat="1" applyFont="1" applyFill="1" applyAlignment="1">
      <alignment/>
    </xf>
    <xf numFmtId="178" fontId="44" fillId="3" borderId="0" xfId="0" applyNumberFormat="1" applyFont="1" applyFill="1" applyAlignment="1">
      <alignment/>
    </xf>
    <xf numFmtId="178" fontId="45" fillId="3" borderId="0" xfId="17" applyNumberFormat="1" applyFont="1" applyFill="1" applyAlignment="1">
      <alignment/>
    </xf>
    <xf numFmtId="178" fontId="45" fillId="3" borderId="0" xfId="17" applyNumberFormat="1" applyFont="1" applyFill="1" applyBorder="1" applyAlignment="1">
      <alignment/>
    </xf>
    <xf numFmtId="178" fontId="46" fillId="2" borderId="2" xfId="17" applyNumberFormat="1" applyFont="1" applyFill="1" applyBorder="1" applyAlignment="1">
      <alignment horizontal="center"/>
    </xf>
    <xf numFmtId="178" fontId="46" fillId="2" borderId="12" xfId="17" applyNumberFormat="1" applyFont="1" applyFill="1" applyBorder="1" applyAlignment="1">
      <alignment horizontal="center"/>
    </xf>
    <xf numFmtId="178" fontId="46" fillId="2" borderId="12" xfId="17" applyNumberFormat="1" applyFont="1" applyFill="1" applyBorder="1" applyAlignment="1">
      <alignment horizontal="right"/>
    </xf>
    <xf numFmtId="178" fontId="46" fillId="2" borderId="12" xfId="17" applyNumberFormat="1" applyFont="1" applyFill="1" applyBorder="1" applyAlignment="1">
      <alignment/>
    </xf>
    <xf numFmtId="44" fontId="46" fillId="2" borderId="12" xfId="17" applyFont="1" applyFill="1" applyBorder="1" applyAlignment="1">
      <alignment horizontal="center"/>
    </xf>
    <xf numFmtId="44" fontId="46" fillId="2" borderId="5" xfId="17" applyFont="1" applyFill="1" applyBorder="1" applyAlignment="1">
      <alignment horizontal="center"/>
    </xf>
    <xf numFmtId="178" fontId="46" fillId="2" borderId="2" xfId="17" applyNumberFormat="1" applyFont="1" applyFill="1" applyBorder="1" applyAlignment="1">
      <alignment horizontal="center"/>
    </xf>
    <xf numFmtId="178" fontId="46" fillId="2" borderId="12" xfId="17" applyNumberFormat="1" applyFont="1" applyFill="1" applyBorder="1" applyAlignment="1">
      <alignment/>
    </xf>
    <xf numFmtId="178" fontId="46" fillId="2" borderId="12" xfId="17" applyNumberFormat="1" applyFont="1" applyFill="1" applyBorder="1" applyAlignment="1">
      <alignment horizontal="center"/>
    </xf>
    <xf numFmtId="44" fontId="46" fillId="2" borderId="5" xfId="17" applyFont="1" applyFill="1" applyBorder="1" applyAlignment="1">
      <alignment horizontal="center"/>
    </xf>
    <xf numFmtId="178" fontId="42" fillId="3" borderId="0" xfId="0" applyNumberFormat="1" applyFont="1" applyFill="1" applyBorder="1" applyAlignment="1">
      <alignment horizontal="center"/>
    </xf>
    <xf numFmtId="178" fontId="44" fillId="3" borderId="0" xfId="0" applyNumberFormat="1" applyFont="1" applyFill="1" applyAlignment="1">
      <alignment horizontal="center"/>
    </xf>
    <xf numFmtId="178" fontId="44" fillId="3" borderId="0" xfId="0" applyNumberFormat="1" applyFont="1" applyFill="1" applyBorder="1" applyAlignment="1">
      <alignment/>
    </xf>
    <xf numFmtId="178" fontId="44" fillId="3" borderId="0" xfId="17" applyNumberFormat="1" applyFont="1" applyFill="1" applyAlignment="1">
      <alignment horizontal="right"/>
    </xf>
    <xf numFmtId="178" fontId="44" fillId="3" borderId="0" xfId="17" applyNumberFormat="1" applyFont="1" applyFill="1" applyBorder="1" applyAlignment="1">
      <alignment horizontal="right"/>
    </xf>
    <xf numFmtId="0" fontId="47" fillId="3" borderId="0" xfId="0" applyFont="1" applyFill="1" applyAlignment="1">
      <alignment/>
    </xf>
    <xf numFmtId="43" fontId="26" fillId="3" borderId="0" xfId="0" applyNumberFormat="1" applyFont="1" applyFill="1" applyAlignment="1">
      <alignment/>
    </xf>
    <xf numFmtId="0" fontId="26" fillId="2" borderId="4" xfId="0" applyFont="1" applyFill="1" applyBorder="1" applyAlignment="1">
      <alignment/>
    </xf>
    <xf numFmtId="0" fontId="26" fillId="2" borderId="13" xfId="0" applyFont="1" applyFill="1" applyBorder="1" applyAlignment="1">
      <alignment/>
    </xf>
    <xf numFmtId="0" fontId="26" fillId="2" borderId="7" xfId="0" applyFont="1" applyFill="1" applyBorder="1" applyAlignment="1">
      <alignment/>
    </xf>
    <xf numFmtId="0" fontId="42" fillId="3" borderId="0" xfId="0" applyFont="1" applyFill="1" applyAlignment="1">
      <alignment/>
    </xf>
    <xf numFmtId="0" fontId="42" fillId="3" borderId="0" xfId="0" applyFont="1" applyFill="1" applyBorder="1" applyAlignment="1">
      <alignment/>
    </xf>
    <xf numFmtId="0" fontId="44" fillId="3" borderId="0" xfId="0" applyFont="1" applyFill="1" applyAlignment="1">
      <alignment/>
    </xf>
    <xf numFmtId="9" fontId="42" fillId="3" borderId="0" xfId="21" applyFont="1" applyFill="1" applyBorder="1" applyAlignment="1">
      <alignment horizontal="right"/>
    </xf>
    <xf numFmtId="0" fontId="42" fillId="3" borderId="0" xfId="0" applyFont="1" applyFill="1" applyBorder="1" applyAlignment="1">
      <alignment horizontal="right"/>
    </xf>
    <xf numFmtId="0" fontId="42" fillId="3" borderId="0" xfId="0" applyFont="1" applyFill="1" applyAlignment="1">
      <alignment horizontal="right"/>
    </xf>
    <xf numFmtId="9" fontId="42" fillId="3" borderId="0" xfId="21" applyFont="1" applyFill="1" applyAlignment="1">
      <alignment horizontal="right"/>
    </xf>
    <xf numFmtId="0" fontId="44" fillId="3" borderId="0" xfId="0" applyFont="1" applyFill="1" applyAlignment="1">
      <alignment/>
    </xf>
    <xf numFmtId="178" fontId="42" fillId="3" borderId="0" xfId="0" applyNumberFormat="1" applyFont="1" applyFill="1" applyBorder="1" applyAlignment="1">
      <alignment horizontal="center"/>
    </xf>
    <xf numFmtId="178" fontId="44" fillId="3" borderId="0" xfId="0" applyNumberFormat="1" applyFont="1" applyFill="1" applyAlignment="1">
      <alignment horizontal="center"/>
    </xf>
    <xf numFmtId="178" fontId="42" fillId="3" borderId="0" xfId="17" applyNumberFormat="1" applyFont="1" applyFill="1" applyBorder="1" applyAlignment="1">
      <alignment horizontal="right"/>
    </xf>
    <xf numFmtId="178" fontId="42" fillId="3" borderId="0" xfId="17" applyNumberFormat="1" applyFont="1" applyFill="1" applyBorder="1" applyAlignment="1">
      <alignment/>
    </xf>
    <xf numFmtId="178" fontId="42" fillId="3" borderId="0" xfId="17" applyNumberFormat="1" applyFont="1" applyFill="1" applyBorder="1" applyAlignment="1">
      <alignment/>
    </xf>
    <xf numFmtId="178" fontId="42" fillId="3" borderId="0" xfId="17" applyNumberFormat="1" applyFont="1" applyFill="1" applyBorder="1" applyAlignment="1">
      <alignment horizontal="center"/>
    </xf>
    <xf numFmtId="44" fontId="42" fillId="3" borderId="0" xfId="17" applyFont="1" applyFill="1" applyBorder="1" applyAlignment="1">
      <alignment horizontal="center"/>
    </xf>
    <xf numFmtId="44" fontId="42" fillId="3" borderId="0" xfId="17" applyFont="1" applyFill="1" applyBorder="1" applyAlignment="1">
      <alignment horizontal="center"/>
    </xf>
    <xf numFmtId="178" fontId="44" fillId="3" borderId="0" xfId="17" applyNumberFormat="1" applyFont="1" applyFill="1" applyBorder="1" applyAlignment="1">
      <alignment horizontal="right"/>
    </xf>
    <xf numFmtId="178" fontId="48" fillId="3" borderId="0" xfId="17" applyNumberFormat="1" applyFont="1" applyFill="1" applyBorder="1" applyAlignment="1">
      <alignment horizontal="center"/>
    </xf>
    <xf numFmtId="178" fontId="42" fillId="3" borderId="0" xfId="17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ont>
        <strike val="0"/>
        <color rgb="FF000000"/>
      </font>
      <fill>
        <patternFill>
          <bgColor rgb="FFFFCC00"/>
        </patternFill>
      </fill>
      <border/>
    </dxf>
    <dxf>
      <font>
        <color rgb="FFFFFFFF"/>
      </font>
      <fill>
        <patternFill>
          <bgColor rgb="FFFF0000"/>
        </patternFill>
      </fill>
      <border/>
    </dxf>
    <dxf>
      <border/>
    </dxf>
    <dxf>
      <font>
        <color rgb="FF000000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3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9"/>
          <c:y val="0.17275"/>
          <c:w val="0.923"/>
          <c:h val="0.7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'Overall (Graphs)'!$C$5</c:f>
              <c:strCache>
                <c:ptCount val="1"/>
                <c:pt idx="0">
                  <c:v>Overall Average of All Defect PPM KPIs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'Overall (Graphs)'!$D$5:$O$5</c:f>
              <c:numCache/>
            </c:numRef>
          </c:val>
        </c:ser>
        <c:axId val="56081523"/>
        <c:axId val="34971660"/>
      </c:bar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4971660"/>
        <c:crosses val="autoZero"/>
        <c:auto val="1"/>
        <c:lblOffset val="100"/>
        <c:noMultiLvlLbl val="0"/>
      </c:catAx>
      <c:valAx>
        <c:axId val="34971660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08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Cumulative Actual Spend vs.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55"/>
          <c:w val="0.939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'Cost (Summary)'!$D$22</c:f>
              <c:strCache>
                <c:ptCount val="1"/>
                <c:pt idx="0">
                  <c:v>x Cum. Total Budget '09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'Cost (Summary)'!$K$2:$V$3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'Cost (Summary)'!$K$22:$V$22</c:f>
              <c:numCache>
                <c:ptCount val="12"/>
                <c:pt idx="0">
                  <c:v>545778.681012499</c:v>
                </c:pt>
                <c:pt idx="1">
                  <c:v>1099803.280224998</c:v>
                </c:pt>
                <c:pt idx="2">
                  <c:v>1655809.836037497</c:v>
                </c:pt>
                <c:pt idx="3">
                  <c:v>2207265.232249996</c:v>
                </c:pt>
                <c:pt idx="4">
                  <c:v>2746474.8312624954</c:v>
                </c:pt>
                <c:pt idx="5">
                  <c:v>3283678.005074994</c:v>
                </c:pt>
                <c:pt idx="6">
                  <c:v>3820293.9324874934</c:v>
                </c:pt>
                <c:pt idx="7">
                  <c:v>4632174.207699993</c:v>
                </c:pt>
                <c:pt idx="8">
                  <c:v>5435655.739312492</c:v>
                </c:pt>
                <c:pt idx="9">
                  <c:v>5991221.860324991</c:v>
                </c:pt>
                <c:pt idx="10">
                  <c:v>6533685.78313749</c:v>
                </c:pt>
                <c:pt idx="11">
                  <c:v>7104701.613749989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'Cost (Summary)'!$D$23</c:f>
              <c:strCache>
                <c:ptCount val="1"/>
                <c:pt idx="0">
                  <c:v>Cumulative Total Actual Cost Year 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'Cost (Summary)'!$K$23:$V$23</c:f>
              <c:numCache>
                <c:ptCount val="12"/>
                <c:pt idx="0">
                  <c:v>262413.0348627</c:v>
                </c:pt>
                <c:pt idx="1">
                  <c:v>262413.0348627</c:v>
                </c:pt>
                <c:pt idx="2">
                  <c:v>262413.0348627</c:v>
                </c:pt>
                <c:pt idx="3">
                  <c:v>262413.0348627</c:v>
                </c:pt>
                <c:pt idx="4">
                  <c:v>262413.0348627</c:v>
                </c:pt>
                <c:pt idx="5">
                  <c:v>262413.0348627</c:v>
                </c:pt>
                <c:pt idx="6">
                  <c:v>262413.0348627</c:v>
                </c:pt>
                <c:pt idx="7">
                  <c:v>262413.0348627</c:v>
                </c:pt>
                <c:pt idx="8">
                  <c:v>262413.0348627</c:v>
                </c:pt>
                <c:pt idx="9">
                  <c:v>262413.0348627</c:v>
                </c:pt>
                <c:pt idx="10">
                  <c:v>262413.0348627</c:v>
                </c:pt>
                <c:pt idx="11">
                  <c:v>262413.0348627</c:v>
                </c:pt>
              </c:numCache>
            </c:numRef>
          </c:val>
          <c:smooth val="0"/>
        </c:ser>
        <c:axId val="52985815"/>
        <c:axId val="7110288"/>
      </c:line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875"/>
          <c:y val="0.16275"/>
          <c:w val="0.39"/>
          <c:h val="0.1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Mech. Planned/Target vs. Actual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92"/>
          <c:w val="0.969"/>
          <c:h val="0.87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'Cost (Actual vs. Planned Hrs.)'!$D$44</c:f>
              <c:strCache>
                <c:ptCount val="1"/>
                <c:pt idx="0">
                  <c:v>Mech - PM &amp; SM - Misc - Est.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Hrs.)'!$F$44:$AC$44</c:f>
              <c:numCache>
                <c:ptCount val="24"/>
                <c:pt idx="0">
                  <c:v>14</c:v>
                </c:pt>
                <c:pt idx="1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'Cost (Actual vs. Planned Hrs.)'!$D$48</c:f>
              <c:strCache>
                <c:ptCount val="1"/>
                <c:pt idx="0">
                  <c:v>Mech - CM - Hours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Hrs.)'!$F$48:$AC$48</c:f>
              <c:numCache>
                <c:ptCount val="24"/>
                <c:pt idx="0">
                  <c:v>2230.06</c:v>
                </c:pt>
                <c:pt idx="1">
                  <c:v>2230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overlap val="100"/>
        <c:shape val="box"/>
        <c:axId val="63992593"/>
        <c:axId val="39062426"/>
      </c:bar3D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  <c:max val="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75"/>
          <c:y val="0.383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Elec Planned/Target vs. Actual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75"/>
          <c:y val="0.06475"/>
          <c:w val="0.9755"/>
          <c:h val="0.905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'Cost (Actual vs. Planned Hrs.)'!$D$54</c:f>
              <c:strCache>
                <c:ptCount val="1"/>
                <c:pt idx="0">
                  <c:v>Elec - PM - IEE Statutory Test - 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Hrs.)'!$F$54:$AC$54</c:f>
              <c:numCache>
                <c:ptCount val="24"/>
                <c:pt idx="0">
                  <c:v>496</c:v>
                </c:pt>
                <c:pt idx="1">
                  <c:v>501</c:v>
                </c:pt>
              </c:numCache>
            </c:numRef>
          </c:val>
          <c:shape val="box"/>
        </c:ser>
        <c:ser>
          <c:idx val="4"/>
          <c:order val="1"/>
          <c:tx>
            <c:strRef>
              <c:f>'Cost (Actual vs. Planned Hrs.)'!$D$60</c:f>
              <c:strCache>
                <c:ptCount val="1"/>
                <c:pt idx="0">
                  <c:v>Elec - CM South - "Misc."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Hrs.)'!$F$60:$AC$60</c:f>
              <c:numCache>
                <c:ptCount val="24"/>
                <c:pt idx="0">
                  <c:v>547.5500000000001</c:v>
                </c:pt>
                <c:pt idx="1">
                  <c:v>547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5"/>
          <c:order val="2"/>
          <c:tx>
            <c:strRef>
              <c:f>'Cost (Actual vs. Planned Hrs.)'!$D$64</c:f>
              <c:strCache>
                <c:ptCount val="1"/>
                <c:pt idx="0">
                  <c:v>Elec - CM North - "Misc."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Hrs.)'!$F$64:$AC$64</c:f>
              <c:numCache>
                <c:ptCount val="24"/>
                <c:pt idx="0">
                  <c:v>270.29</c:v>
                </c:pt>
                <c:pt idx="1">
                  <c:v>270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1"/>
          <c:order val="3"/>
          <c:tx>
            <c:strRef>
              <c:f>'Cost (Actual vs. Planned Hrs.)'!$D$52</c:f>
              <c:strCache>
                <c:ptCount val="1"/>
                <c:pt idx="0">
                  <c:v>Elec - SM - Escape Lighting Stat Insp -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Hrs.)'!$F$52:$AC$52</c:f>
              <c:numCache>
                <c:ptCount val="24"/>
                <c:pt idx="0">
                  <c:v>162</c:v>
                </c:pt>
                <c:pt idx="1">
                  <c:v>199</c:v>
                </c:pt>
              </c:numCache>
            </c:numRef>
          </c:val>
          <c:shape val="box"/>
        </c:ser>
        <c:ser>
          <c:idx val="3"/>
          <c:order val="4"/>
          <c:tx>
            <c:strRef>
              <c:f>'Cost (Actual vs. Planned Hrs.)'!$D$56</c:f>
              <c:strCache>
                <c:ptCount val="1"/>
                <c:pt idx="0">
                  <c:v>Elec - SM - RCD Testing - Hours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Hrs.)'!$F$56:$AC$56</c:f>
              <c:numCache>
                <c:ptCount val="24"/>
                <c:pt idx="0">
                  <c:v>25</c:v>
                </c:pt>
                <c:pt idx="1">
                  <c:v>36</c:v>
                </c:pt>
              </c:numCache>
            </c:numRef>
          </c:val>
          <c:shape val="box"/>
        </c:ser>
        <c:ser>
          <c:idx val="0"/>
          <c:order val="5"/>
          <c:tx>
            <c:strRef>
              <c:f>'Cost (Actual vs. Planned Hrs.)'!$D$50</c:f>
              <c:strCache>
                <c:ptCount val="1"/>
                <c:pt idx="0">
                  <c:v>Elec - PM - Emerg Exit Sign - Repl Controls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Hrs.)'!$F$50:$AC$50</c:f>
              <c:numCache>
                <c:ptCount val="24"/>
                <c:pt idx="0">
                  <c:v>134</c:v>
                </c:pt>
              </c:numCache>
            </c:numRef>
          </c:val>
          <c:shape val="box"/>
        </c:ser>
        <c:overlap val="100"/>
        <c:shape val="box"/>
        <c:axId val="16017515"/>
        <c:axId val="9939908"/>
      </c:bar3D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  <c:max val="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275"/>
          <c:y val="0.17825"/>
          <c:w val="0.47425"/>
          <c:h val="0.39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"Misc." Target vs Actual Hrs.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525"/>
          <c:w val="0.991"/>
          <c:h val="0.89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'Cost (Actual vs. Planned Hrs.)'!$D$68</c:f>
              <c:strCache>
                <c:ptCount val="1"/>
                <c:pt idx="0">
                  <c:v>All "Misc."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Hrs.)'!$F$68:$AC$68</c:f>
              <c:numCach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overlap val="100"/>
        <c:shape val="box"/>
        <c:axId val="22350309"/>
        <c:axId val="66935054"/>
      </c:bar3DChart>
      <c:catAx>
        <c:axId val="22350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935054"/>
        <c:crosses val="autoZero"/>
        <c:auto val="1"/>
        <c:lblOffset val="100"/>
        <c:noMultiLvlLbl val="0"/>
      </c:catAx>
      <c:valAx>
        <c:axId val="66935054"/>
        <c:scaling>
          <c:orientation val="minMax"/>
          <c:max val="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503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6"/>
          <c:y val="0.27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Burner Planned/Target vs. Actual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85"/>
          <c:y val="0.05625"/>
          <c:w val="0.96475"/>
          <c:h val="0.877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'Cost (Actual vs. Planned Hrs.)'!$D$40</c:f>
              <c:strCache>
                <c:ptCount val="1"/>
                <c:pt idx="0">
                  <c:v>Boiler - SM - Burner Maintenance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Hrs.)'!$F$40:$AC$40</c:f>
              <c:numCache>
                <c:ptCount val="24"/>
                <c:pt idx="0">
                  <c:v>100</c:v>
                </c:pt>
                <c:pt idx="1">
                  <c:v>82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'Cost (Actual vs. Planned Hrs.)'!$D$42</c:f>
              <c:strCache>
                <c:ptCount val="1"/>
                <c:pt idx="0">
                  <c:v>Boiler - SM - Gas Safety Shut Off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Hrs.)'!$F$42:$AC$42</c:f>
              <c:numCache>
                <c:ptCount val="24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'Cost (Actual vs. Planned Hrs.)'!$D$38</c:f>
              <c:strCache>
                <c:ptCount val="1"/>
                <c:pt idx="0">
                  <c:v>Boiler - PM - Burner Maintenance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Hrs.)'!$F$38:$AC$38</c:f>
              <c:numCache>
                <c:ptCount val="24"/>
                <c:pt idx="0">
                  <c:v>34</c:v>
                </c:pt>
                <c:pt idx="1">
                  <c:v>25</c:v>
                </c:pt>
              </c:numCache>
            </c:numRef>
          </c:val>
          <c:shape val="box"/>
        </c:ser>
        <c:overlap val="100"/>
        <c:shape val="box"/>
        <c:axId val="65544575"/>
        <c:axId val="53030264"/>
      </c:bar3DChart>
      <c:catAx>
        <c:axId val="65544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030264"/>
        <c:crosses val="autoZero"/>
        <c:auto val="1"/>
        <c:lblOffset val="100"/>
        <c:noMultiLvlLbl val="0"/>
      </c:catAx>
      <c:valAx>
        <c:axId val="53030264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45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09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Maintenance Hours by Asset Family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06"/>
          <c:w val="0.98275"/>
          <c:h val="0.87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'Hrs per Unit Planned v Reactive'!$B$13:$D$13</c:f>
              <c:strCache>
                <c:ptCount val="1"/>
                <c:pt idx="0">
                  <c:v>Doors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Reactive'!$K$13:$V$13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Reactive'!$B$24:$D$24</c:f>
              <c:strCache>
                <c:ptCount val="1"/>
                <c:pt idx="0">
                  <c:v>????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Reactive'!$K$24:$V$24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'Hrs per Unit Planned v Reactive'!$B$35:$D$35</c:f>
              <c:strCache>
                <c:ptCount val="1"/>
                <c:pt idx="0">
                  <c:v>Taps/Showers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Reactive'!$K$35:$V$35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'Hrs per Unit Planned v Reactive'!$B$46:$D$46</c:f>
              <c:strCache>
                <c:ptCount val="1"/>
                <c:pt idx="0">
                  <c:v>Signs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Reactive'!$K$46:$V$46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'Hrs per Unit Planned v Reactive'!$B$57:$D$57</c:f>
              <c:strCache>
                <c:ptCount val="1"/>
                <c:pt idx="0">
                  <c:v>????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Reactive'!$K$57:$V$57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'Hrs per Unit Planned v Reactive'!$B$68:$D$68</c:f>
              <c:strCache>
                <c:ptCount val="1"/>
                <c:pt idx="0">
                  <c:v>Toilets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Reactive'!$K$68:$V$68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'Hrs per Unit Planned v Reactive'!$B$79:$D$79</c:f>
              <c:strCache>
                <c:ptCount val="1"/>
                <c:pt idx="0">
                  <c:v>Switchgear / Distribution Boards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Reactive'!$K$79:$V$79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'Hrs per Unit Planned v Reactive'!$B$90:$D$90</c:f>
              <c:strCache>
                <c:ptCount val="1"/>
                <c:pt idx="0">
                  <c:v>Lamps / Lighting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Reactive'!$K$90:$V$90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'Hrs per Unit Planned v Reactive'!$B$101:$D$101</c:f>
              <c:strCache>
                <c:ptCount val="1"/>
                <c:pt idx="0">
                  <c:v>Chiller / Split Units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Reactive'!$K$101:$V$101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'Hrs per Unit Planned v Reactive'!$B$112:$D$112</c:f>
              <c:strCache>
                <c:ptCount val="1"/>
                <c:pt idx="0">
                  <c:v>Others (Misc) Hrs. Maint.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Reactive'!$K$112:$V$112</c:f>
              <c:numCache>
                <c:ptCount val="12"/>
                <c:pt idx="0">
                  <c:v>1750</c:v>
                </c:pt>
              </c:numCache>
            </c:numRef>
          </c:val>
          <c:shape val="box"/>
        </c:ser>
        <c:overlap val="100"/>
        <c:shape val="box"/>
        <c:axId val="7510329"/>
        <c:axId val="484098"/>
      </c:bar3DChart>
      <c:catAx>
        <c:axId val="7510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4098"/>
        <c:crosses val="autoZero"/>
        <c:auto val="1"/>
        <c:lblOffset val="100"/>
        <c:noMultiLvlLbl val="0"/>
      </c:catAx>
      <c:valAx>
        <c:axId val="484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510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307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Doors: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3"/>
          <c:w val="0.95175"/>
          <c:h val="0.889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Reactive'!$D$17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Reactive'!$K$17:$V$17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Reactive'!$D$16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Reactive'!$K$16:$V$16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Reactive'!$D$15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Reactive'!$K$15:$V$15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4356883"/>
        <c:axId val="39211948"/>
      </c:bar3DChart>
      <c:catAx>
        <c:axId val="4356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9211948"/>
        <c:crosses val="autoZero"/>
        <c:auto val="1"/>
        <c:lblOffset val="100"/>
        <c:noMultiLvlLbl val="0"/>
      </c:catAx>
      <c:valAx>
        <c:axId val="39211948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35688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42075"/>
          <c:w val="0.48175"/>
          <c:h val="0.2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????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82"/>
          <c:w val="0.951"/>
          <c:h val="0.889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Reactive'!$D$28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Reactive'!$K$28:$V$28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Reactive'!$D$27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Reactive'!$K$27:$V$27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Reactive'!$D$15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Reactive'!$K$26:$V$26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17363213"/>
        <c:axId val="22051190"/>
      </c:bar3DChart>
      <c:catAx>
        <c:axId val="17363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2051190"/>
        <c:crosses val="autoZero"/>
        <c:auto val="1"/>
        <c:lblOffset val="100"/>
        <c:noMultiLvlLbl val="0"/>
      </c:catAx>
      <c:valAx>
        <c:axId val="2205119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736321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525"/>
          <c:y val="0.41425"/>
          <c:w val="0.50275"/>
          <c:h val="0.211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Taps &amp; Showers: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08275"/>
          <c:w val="0.951"/>
          <c:h val="0.889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Reactive'!$D$39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Reactive'!$K$39:$V$39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Reactive'!$D$38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Reactive'!$K$38:$V$38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Reactive'!$D$37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Reactive'!$K$37:$V$37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64242983"/>
        <c:axId val="41315936"/>
      </c:bar3DChart>
      <c:catAx>
        <c:axId val="6424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41315936"/>
        <c:crosses val="autoZero"/>
        <c:auto val="1"/>
        <c:lblOffset val="100"/>
        <c:noMultiLvlLbl val="0"/>
      </c:catAx>
      <c:valAx>
        <c:axId val="41315936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24298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775"/>
          <c:y val="0.40825"/>
          <c:w val="0.4785"/>
          <c:h val="0.18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All: Hours Maintenance Per Asset</a:t>
            </a:r>
          </a:p>
        </c:rich>
      </c:tx>
      <c:layout>
        <c:manualLayout>
          <c:xMode val="factor"/>
          <c:yMode val="factor"/>
          <c:x val="0.0025"/>
          <c:y val="0.010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15"/>
          <c:w val="0.95175"/>
          <c:h val="0.890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Reactive'!$D$17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Reactive'!$K$121:$V$121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Reactive'!$D$16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Reactive'!$K$120:$V$120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Reactive'!$D$15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Reactive'!$K$119:$V$119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36299105"/>
        <c:axId val="58256490"/>
      </c:bar3DChart>
      <c:catAx>
        <c:axId val="36299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56490"/>
        <c:crosses val="autoZero"/>
        <c:auto val="1"/>
        <c:lblOffset val="100"/>
        <c:noMultiLvlLbl val="0"/>
      </c:catAx>
      <c:valAx>
        <c:axId val="5825649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9910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41875"/>
          <c:w val="0.48175"/>
          <c:h val="0.21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PPM Defects by Category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14"/>
          <c:w val="0.90775"/>
          <c:h val="0.84475"/>
        </c:manualLayout>
      </c:layout>
      <c:barChart>
        <c:barDir val="col"/>
        <c:grouping val="clustered"/>
        <c:varyColors val="0"/>
        <c:ser>
          <c:idx val="0"/>
          <c:order val="0"/>
          <c:tx>
            <c:v>Average of Cost KPIs - Defects PPM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'Cost (Summary)'!$K$13:$V$13</c:f>
              <c:numCache>
                <c:ptCount val="12"/>
                <c:pt idx="0">
                  <c:v>345712.5695145578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Average of Quality KPIs - Defects PPM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Quality!$E$10:$P$10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Average of Delivery KPIs - Defects PPM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Delivery!$E$38:$P$38</c:f>
              <c:numCache>
                <c:ptCount val="12"/>
                <c:pt idx="0">
                  <c:v>504069.54887218046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v>Average of Corporate Responsibility KPIs - Defects PPM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Responsibility'!$E$44:$P$44</c:f>
              <c:numCache>
                <c:ptCount val="12"/>
                <c:pt idx="0">
                  <c:v>352465.9863945578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v>Average of BAA KPIs - Defects PPM</c:v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'&lt;KPIs on Customer&gt;'!$E$14:$P$14</c:f>
              <c:numCache>
                <c:ptCount val="12"/>
                <c:pt idx="0">
                  <c:v>248903.50877192983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309485"/>
        <c:axId val="14132182"/>
      </c:bar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4132182"/>
        <c:crosses val="autoZero"/>
        <c:auto val="1"/>
        <c:lblOffset val="100"/>
        <c:noMultiLvlLbl val="0"/>
      </c:catAx>
      <c:valAx>
        <c:axId val="14132182"/>
        <c:scaling>
          <c:orientation val="minMax"/>
          <c:max val="1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Defects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6309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175"/>
          <c:y val="0.176"/>
          <c:w val="0.29675"/>
          <c:h val="0.2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????: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5"/>
          <c:w val="0.95175"/>
          <c:h val="0.8872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Reactive'!$D$61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Reactive'!$K$61:$V$61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Reactive'!$D$60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Reactive'!$K$60:$V$60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Reactive'!$D$59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Reactive'!$K$59:$V$59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54546363"/>
        <c:axId val="21155220"/>
      </c:bar3DChart>
      <c:catAx>
        <c:axId val="54546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1155220"/>
        <c:crosses val="autoZero"/>
        <c:auto val="1"/>
        <c:lblOffset val="100"/>
        <c:noMultiLvlLbl val="0"/>
      </c:catAx>
      <c:valAx>
        <c:axId val="2115522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454636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4235"/>
          <c:w val="0.48175"/>
          <c:h val="0.2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Switchgear/Distribution Boards: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8075"/>
          <c:w val="0.95"/>
          <c:h val="0.891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Reactive'!$D$83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Reactive'!$K$83:$V$83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Reactive'!$D$82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Reactive'!$K$82:$V$82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Reactive'!$D$81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Reactive'!$K$81:$V$81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56179253"/>
        <c:axId val="35851230"/>
      </c:bar3DChart>
      <c:catAx>
        <c:axId val="56179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5851230"/>
        <c:crosses val="autoZero"/>
        <c:auto val="1"/>
        <c:lblOffset val="100"/>
        <c:noMultiLvlLbl val="0"/>
      </c:catAx>
      <c:valAx>
        <c:axId val="3585123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6179253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9"/>
          <c:y val="0.414"/>
          <c:w val="0.51725"/>
          <c:h val="0.20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Toilets: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0795"/>
          <c:w val="0.95025"/>
          <c:h val="0.893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Reactive'!$D$72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Reactive'!$K$72:$V$72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Reactive'!$D$71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Reactive'!$K$71:$V$71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Reactive'!$D$70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Reactive'!$K$70:$V$70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54225615"/>
        <c:axId val="18268488"/>
      </c:bar3DChart>
      <c:catAx>
        <c:axId val="54225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8268488"/>
        <c:crosses val="autoZero"/>
        <c:auto val="1"/>
        <c:lblOffset val="100"/>
        <c:noMultiLvlLbl val="0"/>
      </c:catAx>
      <c:valAx>
        <c:axId val="18268488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422561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425"/>
          <c:y val="0.40875"/>
          <c:w val="0.4885"/>
          <c:h val="0.1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Signs: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275"/>
          <c:w val="0.95175"/>
          <c:h val="0.889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Reactive'!$D$50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Reactive'!$K$50:$V$50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'Hrs per Unit Planned v Reactive'!$D$49</c:f>
              <c:strCache>
                <c:ptCount val="1"/>
                <c:pt idx="0">
                  <c:v>No. Hours/Asset Statutory Maint (SM)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'Hrs per Unit Planned v Reactive'!$K$49:$V$49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'Hrs per Unit Planned v Reactive'!$D$48</c:f>
              <c:strCache>
                <c:ptCount val="1"/>
                <c:pt idx="0">
                  <c:v>No. Hours/Asset Planned Maint (PM)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Reactive'!$K$48:$V$48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30198665"/>
        <c:axId val="3352530"/>
      </c:bar3DChart>
      <c:catAx>
        <c:axId val="3019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2530"/>
        <c:crosses val="autoZero"/>
        <c:auto val="1"/>
        <c:lblOffset val="100"/>
        <c:noMultiLvlLbl val="0"/>
      </c:catAx>
      <c:valAx>
        <c:axId val="3352530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019866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4175"/>
          <c:w val="0.49075"/>
          <c:h val="0.20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Chiller / Split Units: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65"/>
          <c:w val="0.95175"/>
          <c:h val="0.8857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Reactive'!$D$105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Reactive'!$K$105:$V$105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Reactive'!$D$104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Reactive'!$K$104:$V$104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Reactive'!$D$103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Reactive'!$K$103:$V$103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30172771"/>
        <c:axId val="3119484"/>
      </c:bar3DChart>
      <c:catAx>
        <c:axId val="30172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119484"/>
        <c:crosses val="autoZero"/>
        <c:auto val="1"/>
        <c:lblOffset val="100"/>
        <c:noMultiLvlLbl val="0"/>
      </c:catAx>
      <c:valAx>
        <c:axId val="3119484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30172771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25"/>
          <c:y val="0.4235"/>
          <c:w val="0.48175"/>
          <c:h val="0.21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Others (Misc)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25"/>
          <c:y val="0.08425"/>
          <c:w val="0.95175"/>
          <c:h val="0.88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Reactive'!$D$116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Reactive'!$K$116:$V$116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'Hrs per Unit Planned v Reactive'!$D$71</c:f>
              <c:strCache>
                <c:ptCount val="1"/>
                <c:pt idx="0">
                  <c:v>No. Hours/Asset Statutory Maint (SM)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Reactive'!$K$115:$V$115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'Hrs per Unit Planned v Reactive'!$D$70</c:f>
              <c:strCache>
                <c:ptCount val="1"/>
                <c:pt idx="0">
                  <c:v>No. Hours/Asset Planned Maint (PM)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Reactive'!$K$114:$V$114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28075357"/>
        <c:axId val="51351622"/>
      </c:bar3DChart>
      <c:catAx>
        <c:axId val="280753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1351622"/>
        <c:crosses val="autoZero"/>
        <c:auto val="1"/>
        <c:lblOffset val="100"/>
        <c:noMultiLvlLbl val="0"/>
      </c:catAx>
      <c:valAx>
        <c:axId val="51351622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075357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39825"/>
          <c:w val="0.46975"/>
          <c:h val="0.209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Lamps: Hours Maintenance Per Asset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5"/>
          <c:y val="0.0885"/>
          <c:w val="0.95225"/>
          <c:h val="0.8805"/>
        </c:manualLayout>
      </c:layout>
      <c:bar3DChart>
        <c:barDir val="col"/>
        <c:grouping val="stacked"/>
        <c:varyColors val="0"/>
        <c:ser>
          <c:idx val="2"/>
          <c:order val="0"/>
          <c:tx>
            <c:strRef>
              <c:f>'Hrs per Unit Planned v Reactive'!$D$94</c:f>
              <c:strCache>
                <c:ptCount val="1"/>
                <c:pt idx="0">
                  <c:v>No. Hours/Asset Corrective Maint (CM)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Reactive'!$K$94:$V$94</c:f>
              <c:numCache>
                <c:ptCount val="1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'Hrs per Unit Planned v Reactive'!$D$93</c:f>
              <c:strCache>
                <c:ptCount val="1"/>
                <c:pt idx="0">
                  <c:v>No. Hours/Asset Statutory Maint (SM)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'Hrs per Unit Planned v Reactive'!$K$93:$V$93</c:f>
              <c:numCache>
                <c:ptCount val="12"/>
                <c:pt idx="0">
                  <c:v>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'Hrs per Unit Planned v Reactive'!$D$92</c:f>
              <c:strCache>
                <c:ptCount val="1"/>
                <c:pt idx="0">
                  <c:v>No. Hours/Asset Planned Maint (PM)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'Hrs per Unit Planned v Reactive'!$K$2:$V$3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2009</c:v>
                  </c:pt>
                  <c:pt idx="1">
                    <c:v>2009</c:v>
                  </c:pt>
                  <c:pt idx="2">
                    <c:v>2009</c:v>
                  </c:pt>
                  <c:pt idx="3">
                    <c:v>2009</c:v>
                  </c:pt>
                  <c:pt idx="4">
                    <c:v>2009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2009</c:v>
                  </c:pt>
                  <c:pt idx="10">
                    <c:v>2009</c:v>
                  </c:pt>
                  <c:pt idx="11">
                    <c:v>2009</c:v>
                  </c:pt>
                </c:lvl>
              </c:multiLvlStrCache>
            </c:multiLvlStrRef>
          </c:cat>
          <c:val>
            <c:numRef>
              <c:f>'Hrs per Unit Planned v Reactive'!$K$92:$V$92</c:f>
              <c:numCache>
                <c:ptCount val="12"/>
                <c:pt idx="0">
                  <c:v>1.25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overlap val="100"/>
        <c:shape val="box"/>
        <c:axId val="59511415"/>
        <c:axId val="65840688"/>
      </c:bar3DChart>
      <c:catAx>
        <c:axId val="59511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5840688"/>
        <c:crosses val="autoZero"/>
        <c:auto val="1"/>
        <c:lblOffset val="100"/>
        <c:noMultiLvlLbl val="0"/>
      </c:catAx>
      <c:valAx>
        <c:axId val="65840688"/>
        <c:scaling>
          <c:orientation val="minMax"/>
        </c:scaling>
        <c:axPos val="l"/>
        <c:majorGridlines/>
        <c:delete val="0"/>
        <c:numFmt formatCode="_-* #,##0_-;\-* #,##0_-;_-* &quot;-&quot;_-;_-@_-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9511415"/>
        <c:crossesAt val="1"/>
        <c:crossBetween val="between"/>
        <c:dispUnits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"/>
          <c:y val="0.40525"/>
          <c:w val="0.4945"/>
          <c:h val="0.23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"/>
          <c:w val="0.969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'Corporate Responsibility'!$C$7</c:f>
              <c:strCache>
                <c:ptCount val="1"/>
                <c:pt idx="0">
                  <c:v>Number of Near Miss Incidents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Responsibility'!$E$7:$P$7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strRef>
              <c:f>'Corporate Responsibility'!$C$8</c:f>
              <c:strCache>
                <c:ptCount val="1"/>
                <c:pt idx="0">
                  <c:v>Number of Non-Reportable Incidents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'Overall (Graphs)'!$D$2:$O$3</c:f>
              <c:multiLvlStrCache/>
            </c:multiLvlStrRef>
          </c:cat>
          <c:val>
            <c:numRef>
              <c:f>'Corporate Responsibility'!$E$8:$P$8</c:f>
              <c:numCache>
                <c:ptCount val="12"/>
                <c:pt idx="0">
                  <c:v>0</c:v>
                </c:pt>
              </c:numCache>
            </c:numRef>
          </c:val>
        </c:ser>
        <c:ser>
          <c:idx val="2"/>
          <c:order val="3"/>
          <c:tx>
            <c:strRef>
              <c:f>'Corporate Responsibility'!$C$9</c:f>
              <c:strCache>
                <c:ptCount val="1"/>
                <c:pt idx="0">
                  <c:v>Number of RIDDOR Incidents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'Corporate Responsibility'!$E$9:$P$9</c:f>
              <c:numCache>
                <c:ptCount val="12"/>
                <c:pt idx="0">
                  <c:v>0</c:v>
                </c:pt>
              </c:numCache>
            </c:numRef>
          </c:val>
        </c:ser>
        <c:axId val="60080775"/>
        <c:axId val="3856064"/>
      </c:barChart>
      <c:lineChart>
        <c:grouping val="standard"/>
        <c:varyColors val="0"/>
        <c:ser>
          <c:idx val="3"/>
          <c:order val="2"/>
          <c:tx>
            <c:strRef>
              <c:f>'Corporate Responsibility'!$C$10</c:f>
              <c:strCache>
                <c:ptCount val="1"/>
                <c:pt idx="0">
                  <c:v>Cumulative Number of Hours Worked Before RIDDOR Incident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'Corporate Responsibility'!$E$10:$P$10</c:f>
              <c:numCache>
                <c:ptCount val="12"/>
                <c:pt idx="0">
                  <c:v>7616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34704577"/>
        <c:axId val="43905738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56064"/>
        <c:crosses val="autoZero"/>
        <c:auto val="0"/>
        <c:lblOffset val="100"/>
        <c:tickLblSkip val="1"/>
        <c:noMultiLvlLbl val="0"/>
      </c:catAx>
      <c:valAx>
        <c:axId val="3856064"/>
        <c:scaling>
          <c:orientation val="minMax"/>
          <c:max val="5"/>
        </c:scaling>
        <c:axPos val="l"/>
        <c:delete val="0"/>
        <c:numFmt formatCode="General" sourceLinked="1"/>
        <c:majorTickMark val="in"/>
        <c:minorTickMark val="none"/>
        <c:tickLblPos val="nextTo"/>
        <c:crossAx val="60080775"/>
        <c:crossesAt val="1"/>
        <c:crossBetween val="between"/>
        <c:dispUnits/>
        <c:majorUnit val="1"/>
        <c:minorUnit val="1"/>
      </c:valAx>
      <c:catAx>
        <c:axId val="34704577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738"/>
        <c:crosses val="autoZero"/>
        <c:auto val="0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70457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"/>
          <c:y val="0.34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Total MEBF Costs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0025"/>
          <c:w val="0.93925"/>
          <c:h val="0.8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'Cost (Breakdown)'!$B$7:$D$7</c:f>
              <c:strCache>
                <c:ptCount val="1"/>
                <c:pt idx="0">
                  <c:v>MEBF Basic Labour*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'Cost (Summary)'!$G$2:$V$3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'Cost (Breakdown)'!$G$7:$V$7</c:f>
              <c:numCache>
                <c:ptCount val="16"/>
                <c:pt idx="0">
                  <c:v>347224.33999999997</c:v>
                </c:pt>
                <c:pt idx="1">
                  <c:v>372869.31</c:v>
                </c:pt>
                <c:pt idx="2">
                  <c:v>340407.403</c:v>
                </c:pt>
                <c:pt idx="3">
                  <c:v>341788.403</c:v>
                </c:pt>
                <c:pt idx="4">
                  <c:v>154576.563</c:v>
                </c:pt>
              </c:numCache>
            </c:numRef>
          </c:val>
        </c:ser>
        <c:ser>
          <c:idx val="1"/>
          <c:order val="1"/>
          <c:tx>
            <c:strRef>
              <c:f>'Cost (Breakdown)'!$B$8:$D$8</c:f>
              <c:strCache>
                <c:ptCount val="1"/>
                <c:pt idx="0">
                  <c:v>MEBF Total Mark-Ups (O/head)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(Breakdown)'!$G$8:$V$8</c:f>
              <c:numCache>
                <c:ptCount val="16"/>
                <c:pt idx="0">
                  <c:v>134453.75724028</c:v>
                </c:pt>
                <c:pt idx="1">
                  <c:v>138391.864733</c:v>
                </c:pt>
                <c:pt idx="2">
                  <c:v>134349.45205720002</c:v>
                </c:pt>
                <c:pt idx="3">
                  <c:v>132633.8187762</c:v>
                </c:pt>
                <c:pt idx="4">
                  <c:v>33640.759980200004</c:v>
                </c:pt>
              </c:numCache>
            </c:numRef>
          </c:val>
        </c:ser>
        <c:ser>
          <c:idx val="2"/>
          <c:order val="2"/>
          <c:tx>
            <c:strRef>
              <c:f>'Cost (Breakdown)'!$B$9:$D$9</c:f>
              <c:strCache>
                <c:ptCount val="1"/>
                <c:pt idx="0">
                  <c:v>MEBF Materials*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(Breakdown)'!$G$9:$V$9</c:f>
              <c:numCache>
                <c:ptCount val="16"/>
                <c:pt idx="0">
                  <c:v>24249.63</c:v>
                </c:pt>
                <c:pt idx="1">
                  <c:v>31754.98</c:v>
                </c:pt>
                <c:pt idx="2">
                  <c:v>24905.03</c:v>
                </c:pt>
                <c:pt idx="3">
                  <c:v>31582.600000000002</c:v>
                </c:pt>
                <c:pt idx="4">
                  <c:v>12664.529999999999</c:v>
                </c:pt>
              </c:numCache>
            </c:numRef>
          </c:val>
        </c:ser>
        <c:ser>
          <c:idx val="3"/>
          <c:order val="3"/>
          <c:tx>
            <c:strRef>
              <c:f>'Cost (Breakdown)'!$B$10:$D$10</c:f>
              <c:strCache>
                <c:ptCount val="1"/>
                <c:pt idx="0">
                  <c:v>MEBF Sub Con*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(Breakdown)'!$G$10:$V$10</c:f>
              <c:numCache>
                <c:ptCount val="16"/>
                <c:pt idx="0">
                  <c:v>123115.68999999999</c:v>
                </c:pt>
                <c:pt idx="1">
                  <c:v>119938.81999999999</c:v>
                </c:pt>
                <c:pt idx="2">
                  <c:v>126862.11</c:v>
                </c:pt>
                <c:pt idx="3">
                  <c:v>23112.82</c:v>
                </c:pt>
                <c:pt idx="4">
                  <c:v>26862.170000000002</c:v>
                </c:pt>
              </c:numCache>
            </c:numRef>
          </c:val>
        </c:ser>
        <c:ser>
          <c:idx val="4"/>
          <c:order val="4"/>
          <c:tx>
            <c:strRef>
              <c:f>'Cost (Breakdown)'!$B$11:$D$11</c:f>
              <c:strCache>
                <c:ptCount val="1"/>
                <c:pt idx="0">
                  <c:v>MEBF Overtime Labour*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(Breakdown)'!$G$11:$V$11</c:f>
              <c:numCache>
                <c:ptCount val="16"/>
                <c:pt idx="0">
                  <c:v>19397.7542</c:v>
                </c:pt>
                <c:pt idx="1">
                  <c:v>16101.16</c:v>
                </c:pt>
                <c:pt idx="2">
                  <c:v>24021.055000000004</c:v>
                </c:pt>
                <c:pt idx="3">
                  <c:v>16028.01</c:v>
                </c:pt>
                <c:pt idx="4">
                  <c:v>17082.24</c:v>
                </c:pt>
              </c:numCache>
            </c:numRef>
          </c:val>
        </c:ser>
        <c:ser>
          <c:idx val="5"/>
          <c:order val="5"/>
          <c:tx>
            <c:strRef>
              <c:f>'Cost (Breakdown)'!$B$12:$D$12</c:f>
              <c:strCache>
                <c:ptCount val="1"/>
                <c:pt idx="0">
                  <c:v>MEBF Salaries*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(Breakdown)'!$G$12:$V$12</c:f>
              <c:numCache>
                <c:ptCount val="16"/>
                <c:pt idx="0">
                  <c:v>12027.67</c:v>
                </c:pt>
                <c:pt idx="1">
                  <c:v>10937.56</c:v>
                </c:pt>
                <c:pt idx="2">
                  <c:v>10411.405</c:v>
                </c:pt>
                <c:pt idx="3">
                  <c:v>9999.715</c:v>
                </c:pt>
                <c:pt idx="4">
                  <c:v>10915.885</c:v>
                </c:pt>
              </c:numCache>
            </c:numRef>
          </c:val>
        </c:ser>
        <c:ser>
          <c:idx val="6"/>
          <c:order val="6"/>
          <c:tx>
            <c:strRef>
              <c:f>'Cost (Breakdown)'!$B$13:$D$13</c:f>
              <c:strCache>
                <c:ptCount val="1"/>
                <c:pt idx="0">
                  <c:v>MEBF Vehicles*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(Breakdown)'!$G$13:$V$13</c:f>
              <c:numCache>
                <c:ptCount val="16"/>
                <c:pt idx="0">
                  <c:v>6374.85</c:v>
                </c:pt>
                <c:pt idx="1">
                  <c:v>6374.85</c:v>
                </c:pt>
                <c:pt idx="2">
                  <c:v>5968.98</c:v>
                </c:pt>
                <c:pt idx="3">
                  <c:v>6374.85</c:v>
                </c:pt>
                <c:pt idx="4">
                  <c:v>4720.36</c:v>
                </c:pt>
              </c:numCache>
            </c:numRef>
          </c:val>
        </c:ser>
        <c:overlap val="100"/>
        <c:axId val="59607323"/>
        <c:axId val="66703860"/>
      </c:bar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03860"/>
        <c:crosses val="autoZero"/>
        <c:auto val="1"/>
        <c:lblOffset val="100"/>
        <c:noMultiLvlLbl val="0"/>
      </c:catAx>
      <c:valAx>
        <c:axId val="66703860"/>
        <c:scaling>
          <c:orientation val="minMax"/>
          <c:max val="7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6073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775"/>
          <c:y val="0.22575"/>
          <c:w val="0.32125"/>
          <c:h val="0.187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Total Carillion M&amp;E Costs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05"/>
          <c:w val="0.93675"/>
          <c:h val="0.86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'Cost (Breakdown)'!$B$18:$D$18</c:f>
              <c:strCache>
                <c:ptCount val="1"/>
                <c:pt idx="0">
                  <c:v>M&amp;E Basic Labour*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'Cost (Summary)'!$G$2:$V$3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'Cost (Breakdown)'!$G$18:$V$18</c:f>
              <c:numCache>
                <c:ptCount val="16"/>
                <c:pt idx="0">
                  <c:v>180557.05</c:v>
                </c:pt>
                <c:pt idx="1">
                  <c:v>196220.835</c:v>
                </c:pt>
                <c:pt idx="2">
                  <c:v>170629.84</c:v>
                </c:pt>
                <c:pt idx="3">
                  <c:v>175203.62</c:v>
                </c:pt>
                <c:pt idx="4">
                  <c:v>84799</c:v>
                </c:pt>
              </c:numCache>
            </c:numRef>
          </c:val>
        </c:ser>
        <c:ser>
          <c:idx val="1"/>
          <c:order val="1"/>
          <c:tx>
            <c:strRef>
              <c:f>'Cost (Breakdown)'!$B$19:$D$19</c:f>
              <c:strCache>
                <c:ptCount val="1"/>
                <c:pt idx="0">
                  <c:v>M&amp;E Total Mark-Ups (O/head)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(Breakdown)'!$G$19:$V$19</c:f>
              <c:numCache>
                <c:ptCount val="16"/>
                <c:pt idx="0">
                  <c:v>119800.18665128</c:v>
                </c:pt>
                <c:pt idx="1">
                  <c:v>122608.594108</c:v>
                </c:pt>
                <c:pt idx="2">
                  <c:v>119172.397622</c:v>
                </c:pt>
                <c:pt idx="3">
                  <c:v>117433.021881</c:v>
                </c:pt>
                <c:pt idx="4">
                  <c:v>18463.705545</c:v>
                </c:pt>
              </c:numCache>
            </c:numRef>
          </c:val>
        </c:ser>
        <c:ser>
          <c:idx val="2"/>
          <c:order val="2"/>
          <c:tx>
            <c:strRef>
              <c:f>'Cost (Breakdown)'!$B$20:$D$20</c:f>
              <c:strCache>
                <c:ptCount val="1"/>
                <c:pt idx="0">
                  <c:v>M&amp;E Overtime Labour*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(Breakdown)'!$G$20:$V$20</c:f>
              <c:numCache>
                <c:ptCount val="16"/>
                <c:pt idx="0">
                  <c:v>18500.6592</c:v>
                </c:pt>
                <c:pt idx="1">
                  <c:v>15311.18</c:v>
                </c:pt>
                <c:pt idx="2">
                  <c:v>24021.055000000004</c:v>
                </c:pt>
                <c:pt idx="3">
                  <c:v>16028.01</c:v>
                </c:pt>
                <c:pt idx="4">
                  <c:v>17082.24</c:v>
                </c:pt>
              </c:numCache>
            </c:numRef>
          </c:val>
        </c:ser>
        <c:ser>
          <c:idx val="3"/>
          <c:order val="3"/>
          <c:tx>
            <c:strRef>
              <c:f>'Cost (Breakdown)'!$B$21:$D$21</c:f>
              <c:strCache>
                <c:ptCount val="1"/>
                <c:pt idx="0">
                  <c:v>M&amp;E Materials*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(Breakdown)'!$G$21:$V$21</c:f>
              <c:numCache>
                <c:ptCount val="16"/>
                <c:pt idx="0">
                  <c:v>18777.16</c:v>
                </c:pt>
                <c:pt idx="1">
                  <c:v>25485.79</c:v>
                </c:pt>
                <c:pt idx="2">
                  <c:v>20505.17</c:v>
                </c:pt>
                <c:pt idx="3">
                  <c:v>10225.79</c:v>
                </c:pt>
                <c:pt idx="4">
                  <c:v>8264.67</c:v>
                </c:pt>
              </c:numCache>
            </c:numRef>
          </c:val>
        </c:ser>
        <c:ser>
          <c:idx val="4"/>
          <c:order val="4"/>
          <c:tx>
            <c:strRef>
              <c:f>'Cost (Breakdown)'!$B$22:$D$22</c:f>
              <c:strCache>
                <c:ptCount val="1"/>
                <c:pt idx="0">
                  <c:v>M&amp;E Salaries*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(Breakdown)'!$G$22:$V$22</c:f>
              <c:numCache>
                <c:ptCount val="16"/>
                <c:pt idx="0">
                  <c:v>6911.52</c:v>
                </c:pt>
                <c:pt idx="1">
                  <c:v>5880.4</c:v>
                </c:pt>
                <c:pt idx="2">
                  <c:v>5946.88</c:v>
                </c:pt>
                <c:pt idx="3">
                  <c:v>5362.88</c:v>
                </c:pt>
                <c:pt idx="4">
                  <c:v>6451.36</c:v>
                </c:pt>
              </c:numCache>
            </c:numRef>
          </c:val>
        </c:ser>
        <c:ser>
          <c:idx val="5"/>
          <c:order val="5"/>
          <c:tx>
            <c:strRef>
              <c:f>'Cost (Breakdown)'!$B$23:$D$23</c:f>
              <c:strCache>
                <c:ptCount val="1"/>
                <c:pt idx="0">
                  <c:v>M&amp;E Vehicles*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(Breakdown)'!$G$23:$V$23</c:f>
              <c:numCache>
                <c:ptCount val="16"/>
                <c:pt idx="0">
                  <c:v>4767.12</c:v>
                </c:pt>
                <c:pt idx="1">
                  <c:v>4767.12</c:v>
                </c:pt>
                <c:pt idx="2">
                  <c:v>4767.12</c:v>
                </c:pt>
                <c:pt idx="3">
                  <c:v>4767.12</c:v>
                </c:pt>
                <c:pt idx="4">
                  <c:v>3518.5</c:v>
                </c:pt>
              </c:numCache>
            </c:numRef>
          </c:val>
        </c:ser>
        <c:ser>
          <c:idx val="6"/>
          <c:order val="6"/>
          <c:tx>
            <c:strRef>
              <c:f>'Cost (Breakdown)'!$B$24:$D$24</c:f>
              <c:strCache>
                <c:ptCount val="1"/>
                <c:pt idx="0">
                  <c:v>M&amp;E Agreed Additions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(Breakdown)'!$G$24:$V$24</c:f>
              <c:numCache>
                <c:ptCount val="16"/>
                <c:pt idx="0">
                  <c:v>0</c:v>
                </c:pt>
                <c:pt idx="1">
                  <c:v>5408.327499999999</c:v>
                </c:pt>
                <c:pt idx="2">
                  <c:v>2552.66</c:v>
                </c:pt>
                <c:pt idx="3">
                  <c:v>2699.4</c:v>
                </c:pt>
                <c:pt idx="4">
                  <c:v>1950.5268825</c:v>
                </c:pt>
              </c:numCache>
            </c:numRef>
          </c:val>
        </c:ser>
        <c:ser>
          <c:idx val="7"/>
          <c:order val="7"/>
          <c:tx>
            <c:strRef>
              <c:f>'Cost (Breakdown)'!$B$25:$D$25</c:f>
              <c:strCache>
                <c:ptCount val="1"/>
                <c:pt idx="0">
                  <c:v>M&amp;E Sub Con*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(Breakdown)'!$G$25:$V$25</c:f>
              <c:numCache>
                <c:ptCount val="16"/>
                <c:pt idx="0">
                  <c:v>1991.04</c:v>
                </c:pt>
                <c:pt idx="1">
                  <c:v>2920.84</c:v>
                </c:pt>
                <c:pt idx="2">
                  <c:v>1598.84</c:v>
                </c:pt>
                <c:pt idx="3">
                  <c:v>4283.84</c:v>
                </c:pt>
                <c:pt idx="4">
                  <c:v>1598.9</c:v>
                </c:pt>
              </c:numCache>
            </c:numRef>
          </c:val>
        </c:ser>
        <c:ser>
          <c:idx val="8"/>
          <c:order val="8"/>
          <c:tx>
            <c:strRef>
              <c:f>'Cost (Breakdown)'!$B$26:$D$26</c:f>
              <c:strCache>
                <c:ptCount val="1"/>
                <c:pt idx="0">
                  <c:v>M&amp;E First Tier*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(Breakdown)'!$G$26:$V$26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63463829"/>
        <c:crossesAt val="1"/>
        <c:crossBetween val="between"/>
        <c:dispUnits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2"/>
          <c:y val="0.188"/>
          <c:w val="0.461"/>
          <c:h val="0.3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Total Carillion BF Costs By Month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175"/>
          <c:w val="0.93575"/>
          <c:h val="0.86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'Cost (Breakdown)'!$B$30:$D$30</c:f>
              <c:strCache>
                <c:ptCount val="1"/>
                <c:pt idx="0">
                  <c:v>BF Basic Labour*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'Cost (Summary)'!$G$2:$V$3</c:f>
              <c:multiLvlStrCache>
                <c:ptCount val="12"/>
                <c:lvl>
                  <c:pt idx="0">
                    <c:v>Jan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Apr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Aug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</c:lvl>
              </c:multiLvlStrCache>
            </c:multiLvlStrRef>
          </c:cat>
          <c:val>
            <c:numRef>
              <c:f>'Cost (Breakdown)'!$G$30:$V$30</c:f>
              <c:numCache>
                <c:ptCount val="16"/>
                <c:pt idx="0">
                  <c:v>166667.29</c:v>
                </c:pt>
                <c:pt idx="1">
                  <c:v>176648.475</c:v>
                </c:pt>
                <c:pt idx="2">
                  <c:v>169777.563</c:v>
                </c:pt>
                <c:pt idx="3">
                  <c:v>166584.783</c:v>
                </c:pt>
                <c:pt idx="4">
                  <c:v>69777.563</c:v>
                </c:pt>
              </c:numCache>
            </c:numRef>
          </c:val>
        </c:ser>
        <c:ser>
          <c:idx val="1"/>
          <c:order val="1"/>
          <c:tx>
            <c:strRef>
              <c:f>'Cost (Breakdown)'!$B$31:$D$31</c:f>
              <c:strCache>
                <c:ptCount val="1"/>
                <c:pt idx="0">
                  <c:v>BF Sub Con*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(Breakdown)'!$G$31:$V$31</c:f>
              <c:numCache>
                <c:ptCount val="16"/>
                <c:pt idx="0">
                  <c:v>121124.65</c:v>
                </c:pt>
                <c:pt idx="1">
                  <c:v>117017.98</c:v>
                </c:pt>
                <c:pt idx="2">
                  <c:v>125263.27</c:v>
                </c:pt>
                <c:pt idx="3">
                  <c:v>18828.98</c:v>
                </c:pt>
                <c:pt idx="4">
                  <c:v>25263.27</c:v>
                </c:pt>
              </c:numCache>
            </c:numRef>
          </c:val>
        </c:ser>
        <c:ser>
          <c:idx val="2"/>
          <c:order val="2"/>
          <c:tx>
            <c:strRef>
              <c:f>'Cost (Breakdown)'!$B$32:$D$32</c:f>
              <c:strCache>
                <c:ptCount val="1"/>
                <c:pt idx="0">
                  <c:v>BF Total Mark-Ups (O/head)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(Breakdown)'!$G$32:$V$32</c:f>
              <c:numCache>
                <c:ptCount val="16"/>
                <c:pt idx="0">
                  <c:v>14653.570589000003</c:v>
                </c:pt>
                <c:pt idx="1">
                  <c:v>15783.270625</c:v>
                </c:pt>
                <c:pt idx="2">
                  <c:v>15177.0544352</c:v>
                </c:pt>
                <c:pt idx="3">
                  <c:v>15200.796895200005</c:v>
                </c:pt>
                <c:pt idx="4">
                  <c:v>15177.0544352</c:v>
                </c:pt>
              </c:numCache>
            </c:numRef>
          </c:val>
        </c:ser>
        <c:ser>
          <c:idx val="3"/>
          <c:order val="3"/>
          <c:tx>
            <c:strRef>
              <c:f>'Cost (Breakdown)'!$B$33:$D$33</c:f>
              <c:strCache>
                <c:ptCount val="1"/>
                <c:pt idx="0">
                  <c:v>BF Materials*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(Breakdown)'!$G$33:$V$33</c:f>
              <c:numCache>
                <c:ptCount val="16"/>
                <c:pt idx="0">
                  <c:v>5472.47</c:v>
                </c:pt>
                <c:pt idx="1">
                  <c:v>6269.19</c:v>
                </c:pt>
                <c:pt idx="2">
                  <c:v>4399.86</c:v>
                </c:pt>
                <c:pt idx="3">
                  <c:v>21356.81</c:v>
                </c:pt>
                <c:pt idx="4">
                  <c:v>4399.86</c:v>
                </c:pt>
              </c:numCache>
            </c:numRef>
          </c:val>
        </c:ser>
        <c:ser>
          <c:idx val="4"/>
          <c:order val="4"/>
          <c:tx>
            <c:strRef>
              <c:f>'Cost (Breakdown)'!$B$34:$D$34</c:f>
              <c:strCache>
                <c:ptCount val="1"/>
                <c:pt idx="0">
                  <c:v>BF Salaries*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(Breakdown)'!$G$34:$V$34</c:f>
              <c:numCache>
                <c:ptCount val="16"/>
                <c:pt idx="0">
                  <c:v>5116.15</c:v>
                </c:pt>
                <c:pt idx="1">
                  <c:v>5057.16</c:v>
                </c:pt>
                <c:pt idx="2">
                  <c:v>4464.525000000001</c:v>
                </c:pt>
                <c:pt idx="3">
                  <c:v>4636.835</c:v>
                </c:pt>
                <c:pt idx="4">
                  <c:v>4464.525000000001</c:v>
                </c:pt>
              </c:numCache>
            </c:numRef>
          </c:val>
        </c:ser>
        <c:ser>
          <c:idx val="5"/>
          <c:order val="5"/>
          <c:tx>
            <c:strRef>
              <c:f>'Cost (Breakdown)'!$B$35:$D$35</c:f>
              <c:strCache>
                <c:ptCount val="1"/>
                <c:pt idx="0">
                  <c:v>BF Vehicles*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'Cost (Breakdown)'!$G$35:$V$35</c:f>
              <c:numCache>
                <c:ptCount val="16"/>
                <c:pt idx="0">
                  <c:v>1607.73</c:v>
                </c:pt>
                <c:pt idx="1">
                  <c:v>1607.73</c:v>
                </c:pt>
                <c:pt idx="2">
                  <c:v>1201.86</c:v>
                </c:pt>
                <c:pt idx="3">
                  <c:v>1607.73</c:v>
                </c:pt>
                <c:pt idx="4">
                  <c:v>1201.86</c:v>
                </c:pt>
              </c:numCache>
            </c:numRef>
          </c:val>
        </c:ser>
        <c:ser>
          <c:idx val="6"/>
          <c:order val="6"/>
          <c:tx>
            <c:strRef>
              <c:f>'Cost (Breakdown)'!$B$36:$D$36</c:f>
              <c:strCache>
                <c:ptCount val="1"/>
                <c:pt idx="0">
                  <c:v>BF Overtime Labour*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(Breakdown)'!$G$36:$V$36</c:f>
              <c:numCache>
                <c:ptCount val="16"/>
                <c:pt idx="0">
                  <c:v>897.095</c:v>
                </c:pt>
                <c:pt idx="1">
                  <c:v>789.98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'Cost (Breakdown)'!$B$37:$D$37</c:f>
              <c:strCache>
                <c:ptCount val="1"/>
                <c:pt idx="0">
                  <c:v>BF First Tier*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(Breakdown)'!$G$37:$V$37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'Cost (Breakdown)'!$B$38:$D$38</c:f>
              <c:strCache>
                <c:ptCount val="1"/>
                <c:pt idx="0">
                  <c:v>BF Agreed Additions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'Cost (Breakdown)'!$G$38:$V$38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0296495"/>
        <c:axId val="27124136"/>
      </c:bar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  <c:max val="4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40296495"/>
        <c:crossesAt val="1"/>
        <c:crossBetween val="between"/>
        <c:dispUnits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975"/>
          <c:y val="0.209"/>
          <c:w val="0.46"/>
          <c:h val="0.3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Building Fabric Planned/Target vs Actual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8525"/>
          <c:w val="0.984"/>
          <c:h val="0.88575"/>
        </c:manualLayout>
      </c:layout>
      <c:bar3DChart>
        <c:barDir val="col"/>
        <c:grouping val="stacked"/>
        <c:varyColors val="0"/>
        <c:ser>
          <c:idx val="3"/>
          <c:order val="0"/>
          <c:tx>
            <c:strRef>
              <c:f>'Cost (Actual vs. Planned Hrs.)'!$D$16</c:f>
              <c:strCache>
                <c:ptCount val="1"/>
                <c:pt idx="0">
                  <c:v>BF - CM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Hrs.)'!$F$16:$AC$16</c:f>
              <c:numCache>
                <c:ptCount val="24"/>
                <c:pt idx="0">
                  <c:v>2230.06</c:v>
                </c:pt>
                <c:pt idx="1">
                  <c:v>2230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'Cost (Actual vs. Planned Hrs.)'!$D$8</c:f>
              <c:strCache>
                <c:ptCount val="1"/>
                <c:pt idx="0">
                  <c:v>BF - SM - Fire Doors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Hrs.)'!$F$8:$AC$8</c:f>
              <c:numCache>
                <c:ptCount val="24"/>
                <c:pt idx="0">
                  <c:v>200</c:v>
                </c:pt>
                <c:pt idx="1">
                  <c:v>399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'Cost (Actual vs. Planned Hrs.)'!$D$10</c:f>
              <c:strCache>
                <c:ptCount val="1"/>
                <c:pt idx="0">
                  <c:v>BF - SM - Hoardings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Hrs.)'!$F$10:$AC$10</c:f>
              <c:numCache>
                <c:ptCount val="24"/>
                <c:pt idx="0">
                  <c:v>284</c:v>
                </c:pt>
                <c:pt idx="1">
                  <c:v>123</c:v>
                </c:pt>
              </c:numCache>
            </c:numRef>
          </c:val>
          <c:shape val="box"/>
        </c:ser>
        <c:ser>
          <c:idx val="2"/>
          <c:order val="3"/>
          <c:tx>
            <c:strRef>
              <c:f>'Cost (Actual vs. Planned Hrs.)'!$D$12</c:f>
              <c:strCache>
                <c:ptCount val="1"/>
                <c:pt idx="0">
                  <c:v>BF - PM - Misc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Hrs.)'!$F$12:$AC$12</c:f>
              <c:numCache>
                <c:ptCount val="24"/>
                <c:pt idx="0">
                  <c:v>80</c:v>
                </c:pt>
                <c:pt idx="1">
                  <c:v>143</c:v>
                </c:pt>
              </c:numCache>
            </c:numRef>
          </c:val>
          <c:shape val="box"/>
        </c:ser>
        <c:overlap val="100"/>
        <c:shape val="box"/>
        <c:axId val="42790633"/>
        <c:axId val="49571378"/>
      </c:bar3DChart>
      <c:cat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571378"/>
        <c:crosses val="autoZero"/>
        <c:auto val="1"/>
        <c:lblOffset val="100"/>
        <c:noMultiLvlLbl val="0"/>
      </c:catAx>
      <c:valAx>
        <c:axId val="49571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15"/>
          <c:y val="0.359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Plumbing Planned/Target vs Actual Hours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06675"/>
          <c:w val="0.9965"/>
          <c:h val="0.91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'Cost (Actual vs. Planned Hrs.)'!$D$18</c:f>
              <c:strCache>
                <c:ptCount val="1"/>
                <c:pt idx="0">
                  <c:v>PL - PM - Urinal Jetting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Hrs.)'!$F$18:$AC$18</c:f>
              <c:numCache>
                <c:ptCount val="24"/>
                <c:pt idx="0">
                  <c:v>178</c:v>
                </c:pt>
                <c:pt idx="1">
                  <c:v>301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'Cost (Actual vs. Planned Hrs.)'!$D$20</c:f>
              <c:strCache>
                <c:ptCount val="1"/>
                <c:pt idx="0">
                  <c:v>PL - SM - Tap Temp Testing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Hrs.)'!$F$20:$AC$20</c:f>
              <c:numCache>
                <c:ptCount val="24"/>
                <c:pt idx="0">
                  <c:v>48</c:v>
                </c:pt>
                <c:pt idx="1">
                  <c:v>59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'Cost (Actual vs. Planned Hrs.)'!$D$22</c:f>
              <c:strCache>
                <c:ptCount val="1"/>
                <c:pt idx="0">
                  <c:v>PL - PM - Flushing Remote Areas - 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Hrs.)'!$F$22:$AC$22</c:f>
              <c:numCache>
                <c:ptCount val="24"/>
                <c:pt idx="0">
                  <c:v>0</c:v>
                </c:pt>
                <c:pt idx="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'Cost (Actual vs. Planned Hrs.)'!$D$24</c:f>
              <c:strCache>
                <c:ptCount val="1"/>
                <c:pt idx="0">
                  <c:v>PL - SM - Shower Heads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Hrs.)'!$F$24:$AC$24</c:f>
              <c:numCache>
                <c:ptCount val="24"/>
                <c:pt idx="0">
                  <c:v>22</c:v>
                </c:pt>
                <c:pt idx="1">
                  <c:v>74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'Cost (Actual vs. Planned Hrs.)'!$D$26</c:f>
              <c:strCache>
                <c:ptCount val="1"/>
                <c:pt idx="0">
                  <c:v>PL - PM &amp; SM - Misc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Hrs.)'!$F$26:$AC$26</c:f>
              <c:numCache>
                <c:ptCount val="24"/>
                <c:pt idx="0">
                  <c:v>80</c:v>
                </c:pt>
                <c:pt idx="1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'Cost (Actual vs. Planned Hrs.)'!$D$30</c:f>
              <c:strCache>
                <c:ptCount val="1"/>
                <c:pt idx="0">
                  <c:v>PL - CM - "Misc."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Hrs.)'!$F$30:$AC$30</c:f>
              <c:numCache>
                <c:ptCount val="24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  <c:shape val="box"/>
        </c:ser>
        <c:overlap val="100"/>
        <c:shape val="box"/>
        <c:axId val="43489219"/>
        <c:axId val="55858652"/>
      </c:bar3D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025"/>
          <c:y val="0.308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AirCon Planned/Target vs. Actual Hours</a:t>
            </a:r>
          </a:p>
        </c:rich>
      </c:tx>
      <c:layout>
        <c:manualLayout>
          <c:xMode val="factor"/>
          <c:yMode val="factor"/>
          <c:x val="-0.00475"/>
          <c:y val="-0.003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09225"/>
          <c:w val="0.96025"/>
          <c:h val="0.874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'Cost (Actual vs. Planned Hrs.)'!$D$32</c:f>
              <c:strCache>
                <c:ptCount val="1"/>
                <c:pt idx="0">
                  <c:v>Aircon - PM - Air Con Unit Maintenance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Hrs.)'!$F$32:$AC$32</c:f>
              <c:numCache>
                <c:ptCount val="24"/>
                <c:pt idx="0">
                  <c:v>192</c:v>
                </c:pt>
                <c:pt idx="1">
                  <c:v>207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'Cost (Actual vs. Planned Hrs.)'!$D$34</c:f>
              <c:strCache>
                <c:ptCount val="1"/>
                <c:pt idx="0">
                  <c:v>Aircon - PM - Split Unit Maintenance -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Hrs.)'!$F$34:$AC$34</c:f>
              <c:numCache>
                <c:ptCount val="24"/>
              </c:numCache>
            </c:numRef>
          </c:val>
          <c:shape val="box"/>
        </c:ser>
        <c:ser>
          <c:idx val="2"/>
          <c:order val="2"/>
          <c:tx>
            <c:strRef>
              <c:f>'Cost (Actual vs. Planned Hrs.)'!$D$36</c:f>
              <c:strCache>
                <c:ptCount val="1"/>
                <c:pt idx="0">
                  <c:v>Aircon - PM - Chiller Maintenance -  Hrs.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'Cost (Actual vs. Planned Hrs.)'!$F$2:$AC$4</c:f>
              <c:multiLvlStrCache>
                <c:ptCount val="24"/>
                <c:lvl>
                  <c:pt idx="0">
                    <c:v>Est/Target</c:v>
                  </c:pt>
                  <c:pt idx="1">
                    <c:v>Actual</c:v>
                  </c:pt>
                  <c:pt idx="2">
                    <c:v>Est/Target</c:v>
                  </c:pt>
                  <c:pt idx="3">
                    <c:v>Actual</c:v>
                  </c:pt>
                  <c:pt idx="4">
                    <c:v>Est/Target</c:v>
                  </c:pt>
                  <c:pt idx="5">
                    <c:v>Actual</c:v>
                  </c:pt>
                  <c:pt idx="6">
                    <c:v>Est/Target</c:v>
                  </c:pt>
                  <c:pt idx="7">
                    <c:v>Actual</c:v>
                  </c:pt>
                  <c:pt idx="8">
                    <c:v>Est/Target</c:v>
                  </c:pt>
                  <c:pt idx="9">
                    <c:v>Actual</c:v>
                  </c:pt>
                  <c:pt idx="10">
                    <c:v>Est/Target</c:v>
                  </c:pt>
                  <c:pt idx="11">
                    <c:v>Actual</c:v>
                  </c:pt>
                  <c:pt idx="12">
                    <c:v>Est/Target</c:v>
                  </c:pt>
                  <c:pt idx="13">
                    <c:v>Actual</c:v>
                  </c:pt>
                  <c:pt idx="14">
                    <c:v>Est/Target</c:v>
                  </c:pt>
                  <c:pt idx="15">
                    <c:v>Actual</c:v>
                  </c:pt>
                  <c:pt idx="16">
                    <c:v>Est/Target</c:v>
                  </c:pt>
                  <c:pt idx="17">
                    <c:v>Actual</c:v>
                  </c:pt>
                  <c:pt idx="18">
                    <c:v>Est/Target</c:v>
                  </c:pt>
                  <c:pt idx="19">
                    <c:v>Actual</c:v>
                  </c:pt>
                  <c:pt idx="20">
                    <c:v>Est/Target</c:v>
                  </c:pt>
                  <c:pt idx="21">
                    <c:v>Actual</c:v>
                  </c:pt>
                  <c:pt idx="22">
                    <c:v>Est/Target</c:v>
                  </c:pt>
                  <c:pt idx="23">
                    <c:v>Actual</c:v>
                  </c:pt>
                </c:lvl>
                <c:lvl>
                  <c:pt idx="0">
                    <c:v>Jan</c:v>
                  </c:pt>
                  <c:pt idx="1">
                    <c:v>Jan</c:v>
                  </c:pt>
                  <c:pt idx="2">
                    <c:v>Feb</c:v>
                  </c:pt>
                  <c:pt idx="3">
                    <c:v>Feb</c:v>
                  </c:pt>
                  <c:pt idx="4">
                    <c:v>Mar</c:v>
                  </c:pt>
                  <c:pt idx="5">
                    <c:v>Mar</c:v>
                  </c:pt>
                  <c:pt idx="6">
                    <c:v>Apr</c:v>
                  </c:pt>
                  <c:pt idx="7">
                    <c:v>Apr</c:v>
                  </c:pt>
                  <c:pt idx="8">
                    <c:v>May</c:v>
                  </c:pt>
                  <c:pt idx="9">
                    <c:v>May</c:v>
                  </c:pt>
                  <c:pt idx="10">
                    <c:v>Jun</c:v>
                  </c:pt>
                  <c:pt idx="11">
                    <c:v>Jun</c:v>
                  </c:pt>
                  <c:pt idx="12">
                    <c:v>Jul</c:v>
                  </c:pt>
                  <c:pt idx="13">
                    <c:v>Jul</c:v>
                  </c:pt>
                  <c:pt idx="14">
                    <c:v>Aug</c:v>
                  </c:pt>
                  <c:pt idx="15">
                    <c:v>Aug</c:v>
                  </c:pt>
                  <c:pt idx="16">
                    <c:v>Sep</c:v>
                  </c:pt>
                  <c:pt idx="17">
                    <c:v>Sep</c:v>
                  </c:pt>
                  <c:pt idx="18">
                    <c:v>Oct</c:v>
                  </c:pt>
                  <c:pt idx="19">
                    <c:v>Oct</c:v>
                  </c:pt>
                  <c:pt idx="20">
                    <c:v>Nov</c:v>
                  </c:pt>
                  <c:pt idx="21">
                    <c:v>Nov</c:v>
                  </c:pt>
                  <c:pt idx="22">
                    <c:v>Dec</c:v>
                  </c:pt>
                  <c:pt idx="23">
                    <c:v>Dec</c:v>
                  </c:pt>
                </c:lvl>
                <c:lvl>
                  <c:pt idx="0">
                    <c:v>Year N</c:v>
                  </c:pt>
                  <c:pt idx="1">
                    <c:v>Year N</c:v>
                  </c:pt>
                  <c:pt idx="2">
                    <c:v>Year N</c:v>
                  </c:pt>
                  <c:pt idx="3">
                    <c:v>Year N</c:v>
                  </c:pt>
                  <c:pt idx="4">
                    <c:v>Year N</c:v>
                  </c:pt>
                  <c:pt idx="5">
                    <c:v>Year N</c:v>
                  </c:pt>
                  <c:pt idx="6">
                    <c:v>Year N</c:v>
                  </c:pt>
                  <c:pt idx="7">
                    <c:v>Year N</c:v>
                  </c:pt>
                  <c:pt idx="8">
                    <c:v>Year N</c:v>
                  </c:pt>
                  <c:pt idx="9">
                    <c:v>Year N</c:v>
                  </c:pt>
                  <c:pt idx="10">
                    <c:v>Year N</c:v>
                  </c:pt>
                  <c:pt idx="11">
                    <c:v>Year N</c:v>
                  </c:pt>
                  <c:pt idx="12">
                    <c:v>Year N</c:v>
                  </c:pt>
                  <c:pt idx="13">
                    <c:v>Year N</c:v>
                  </c:pt>
                  <c:pt idx="14">
                    <c:v>Year N</c:v>
                  </c:pt>
                  <c:pt idx="15">
                    <c:v>Year N</c:v>
                  </c:pt>
                  <c:pt idx="16">
                    <c:v>Year N</c:v>
                  </c:pt>
                  <c:pt idx="17">
                    <c:v>Year N</c:v>
                  </c:pt>
                  <c:pt idx="18">
                    <c:v>Year N</c:v>
                  </c:pt>
                  <c:pt idx="19">
                    <c:v>Year N</c:v>
                  </c:pt>
                  <c:pt idx="20">
                    <c:v>Year N</c:v>
                  </c:pt>
                  <c:pt idx="21">
                    <c:v>Year N</c:v>
                  </c:pt>
                  <c:pt idx="22">
                    <c:v>Year N</c:v>
                  </c:pt>
                  <c:pt idx="23">
                    <c:v>Year N</c:v>
                  </c:pt>
                </c:lvl>
              </c:multiLvlStrCache>
            </c:multiLvlStrRef>
          </c:cat>
          <c:val>
            <c:numRef>
              <c:f>'Cost (Actual vs. Planned Hrs.)'!$F$36:$AC$36</c:f>
              <c:numCache>
                <c:ptCount val="24"/>
                <c:pt idx="0">
                  <c:v>45</c:v>
                </c:pt>
                <c:pt idx="1">
                  <c:v>31</c:v>
                </c:pt>
              </c:numCache>
            </c:numRef>
          </c:val>
          <c:shape val="box"/>
        </c:ser>
        <c:overlap val="100"/>
        <c:shape val="box"/>
        <c:axId val="32965821"/>
        <c:axId val="28256934"/>
      </c:bar3D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65"/>
          <c:y val="0.27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</xdr:row>
      <xdr:rowOff>95250</xdr:rowOff>
    </xdr:from>
    <xdr:to>
      <xdr:col>5</xdr:col>
      <xdr:colOff>857250</xdr:colOff>
      <xdr:row>37</xdr:row>
      <xdr:rowOff>38100</xdr:rowOff>
    </xdr:to>
    <xdr:graphicFrame>
      <xdr:nvGraphicFramePr>
        <xdr:cNvPr id="1" name="Chart 3"/>
        <xdr:cNvGraphicFramePr/>
      </xdr:nvGraphicFramePr>
      <xdr:xfrm>
        <a:off x="133350" y="1276350"/>
        <a:ext cx="785812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266700</xdr:colOff>
      <xdr:row>6</xdr:row>
      <xdr:rowOff>114300</xdr:rowOff>
    </xdr:from>
    <xdr:to>
      <xdr:col>15</xdr:col>
      <xdr:colOff>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8305800" y="1295400"/>
        <a:ext cx="75152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37</xdr:row>
      <xdr:rowOff>114300</xdr:rowOff>
    </xdr:from>
    <xdr:to>
      <xdr:col>5</xdr:col>
      <xdr:colOff>838200</xdr:colOff>
      <xdr:row>67</xdr:row>
      <xdr:rowOff>95250</xdr:rowOff>
    </xdr:to>
    <xdr:graphicFrame>
      <xdr:nvGraphicFramePr>
        <xdr:cNvPr id="3" name="Chart 5"/>
        <xdr:cNvGraphicFramePr/>
      </xdr:nvGraphicFramePr>
      <xdr:xfrm>
        <a:off x="152400" y="6315075"/>
        <a:ext cx="78200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11</xdr:col>
      <xdr:colOff>295275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66675" y="85725"/>
        <a:ext cx="6934200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371475</xdr:colOff>
      <xdr:row>0</xdr:row>
      <xdr:rowOff>104775</xdr:rowOff>
    </xdr:from>
    <xdr:to>
      <xdr:col>20</xdr:col>
      <xdr:colOff>95250</xdr:colOff>
      <xdr:row>20</xdr:row>
      <xdr:rowOff>142875</xdr:rowOff>
    </xdr:to>
    <xdr:graphicFrame>
      <xdr:nvGraphicFramePr>
        <xdr:cNvPr id="2" name="Chart 2"/>
        <xdr:cNvGraphicFramePr/>
      </xdr:nvGraphicFramePr>
      <xdr:xfrm>
        <a:off x="7077075" y="104775"/>
        <a:ext cx="52101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381000</xdr:colOff>
      <xdr:row>21</xdr:row>
      <xdr:rowOff>38100</xdr:rowOff>
    </xdr:from>
    <xdr:to>
      <xdr:col>20</xdr:col>
      <xdr:colOff>114300</xdr:colOff>
      <xdr:row>41</xdr:row>
      <xdr:rowOff>28575</xdr:rowOff>
    </xdr:to>
    <xdr:graphicFrame>
      <xdr:nvGraphicFramePr>
        <xdr:cNvPr id="3" name="Chart 3"/>
        <xdr:cNvGraphicFramePr/>
      </xdr:nvGraphicFramePr>
      <xdr:xfrm>
        <a:off x="7086600" y="3438525"/>
        <a:ext cx="521970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23</xdr:row>
      <xdr:rowOff>95250</xdr:rowOff>
    </xdr:from>
    <xdr:to>
      <xdr:col>10</xdr:col>
      <xdr:colOff>123825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09550" y="3819525"/>
        <a:ext cx="60102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323850</xdr:colOff>
      <xdr:row>1</xdr:row>
      <xdr:rowOff>38100</xdr:rowOff>
    </xdr:from>
    <xdr:to>
      <xdr:col>19</xdr:col>
      <xdr:colOff>247650</xdr:colOff>
      <xdr:row>22</xdr:row>
      <xdr:rowOff>57150</xdr:rowOff>
    </xdr:to>
    <xdr:graphicFrame>
      <xdr:nvGraphicFramePr>
        <xdr:cNvPr id="2" name="Chart 2"/>
        <xdr:cNvGraphicFramePr/>
      </xdr:nvGraphicFramePr>
      <xdr:xfrm>
        <a:off x="6419850" y="200025"/>
        <a:ext cx="54102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361950</xdr:colOff>
      <xdr:row>23</xdr:row>
      <xdr:rowOff>19050</xdr:rowOff>
    </xdr:from>
    <xdr:to>
      <xdr:col>19</xdr:col>
      <xdr:colOff>247650</xdr:colOff>
      <xdr:row>44</xdr:row>
      <xdr:rowOff>85725</xdr:rowOff>
    </xdr:to>
    <xdr:graphicFrame>
      <xdr:nvGraphicFramePr>
        <xdr:cNvPr id="3" name="Chart 3"/>
        <xdr:cNvGraphicFramePr/>
      </xdr:nvGraphicFramePr>
      <xdr:xfrm>
        <a:off x="6457950" y="3743325"/>
        <a:ext cx="5372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209550</xdr:colOff>
      <xdr:row>1</xdr:row>
      <xdr:rowOff>76200</xdr:rowOff>
    </xdr:from>
    <xdr:to>
      <xdr:col>10</xdr:col>
      <xdr:colOff>133350</xdr:colOff>
      <xdr:row>22</xdr:row>
      <xdr:rowOff>95250</xdr:rowOff>
    </xdr:to>
    <xdr:graphicFrame>
      <xdr:nvGraphicFramePr>
        <xdr:cNvPr id="4" name="Chart 5"/>
        <xdr:cNvGraphicFramePr/>
      </xdr:nvGraphicFramePr>
      <xdr:xfrm>
        <a:off x="209550" y="238125"/>
        <a:ext cx="6019800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23</xdr:row>
      <xdr:rowOff>28575</xdr:rowOff>
    </xdr:from>
    <xdr:to>
      <xdr:col>10</xdr:col>
      <xdr:colOff>361950</xdr:colOff>
      <xdr:row>43</xdr:row>
      <xdr:rowOff>152400</xdr:rowOff>
    </xdr:to>
    <xdr:graphicFrame>
      <xdr:nvGraphicFramePr>
        <xdr:cNvPr id="1" name="Chart 1"/>
        <xdr:cNvGraphicFramePr/>
      </xdr:nvGraphicFramePr>
      <xdr:xfrm>
        <a:off x="266700" y="3752850"/>
        <a:ext cx="61912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561975</xdr:colOff>
      <xdr:row>0</xdr:row>
      <xdr:rowOff>104775</xdr:rowOff>
    </xdr:from>
    <xdr:to>
      <xdr:col>20</xdr:col>
      <xdr:colOff>276225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6657975" y="104775"/>
        <a:ext cx="581025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571500</xdr:colOff>
      <xdr:row>23</xdr:row>
      <xdr:rowOff>0</xdr:rowOff>
    </xdr:from>
    <xdr:to>
      <xdr:col>20</xdr:col>
      <xdr:colOff>266700</xdr:colOff>
      <xdr:row>43</xdr:row>
      <xdr:rowOff>133350</xdr:rowOff>
    </xdr:to>
    <xdr:graphicFrame>
      <xdr:nvGraphicFramePr>
        <xdr:cNvPr id="3" name="Chart 3"/>
        <xdr:cNvGraphicFramePr/>
      </xdr:nvGraphicFramePr>
      <xdr:xfrm>
        <a:off x="6667500" y="3724275"/>
        <a:ext cx="5791200" cy="3371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266700</xdr:colOff>
      <xdr:row>0</xdr:row>
      <xdr:rowOff>104775</xdr:rowOff>
    </xdr:from>
    <xdr:to>
      <xdr:col>10</xdr:col>
      <xdr:colOff>361950</xdr:colOff>
      <xdr:row>22</xdr:row>
      <xdr:rowOff>19050</xdr:rowOff>
    </xdr:to>
    <xdr:graphicFrame>
      <xdr:nvGraphicFramePr>
        <xdr:cNvPr id="4" name="Chart 4"/>
        <xdr:cNvGraphicFramePr/>
      </xdr:nvGraphicFramePr>
      <xdr:xfrm>
        <a:off x="266700" y="104775"/>
        <a:ext cx="61912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142875</xdr:rowOff>
    </xdr:from>
    <xdr:to>
      <xdr:col>19</xdr:col>
      <xdr:colOff>581025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304800" y="142875"/>
        <a:ext cx="11858625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104775</xdr:rowOff>
    </xdr:from>
    <xdr:to>
      <xdr:col>8</xdr:col>
      <xdr:colOff>600075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190500" y="3829050"/>
        <a:ext cx="52863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0</xdr:row>
      <xdr:rowOff>9525</xdr:rowOff>
    </xdr:from>
    <xdr:to>
      <xdr:col>17</xdr:col>
      <xdr:colOff>428625</xdr:colOff>
      <xdr:row>22</xdr:row>
      <xdr:rowOff>142875</xdr:rowOff>
    </xdr:to>
    <xdr:graphicFrame>
      <xdr:nvGraphicFramePr>
        <xdr:cNvPr id="2" name="Chart 2"/>
        <xdr:cNvGraphicFramePr/>
      </xdr:nvGraphicFramePr>
      <xdr:xfrm>
        <a:off x="5629275" y="9525"/>
        <a:ext cx="5162550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142875</xdr:colOff>
      <xdr:row>23</xdr:row>
      <xdr:rowOff>104775</xdr:rowOff>
    </xdr:from>
    <xdr:to>
      <xdr:col>17</xdr:col>
      <xdr:colOff>447675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5629275" y="3829050"/>
        <a:ext cx="518160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8</xdr:col>
      <xdr:colOff>590550</xdr:colOff>
      <xdr:row>23</xdr:row>
      <xdr:rowOff>0</xdr:rowOff>
    </xdr:to>
    <xdr:graphicFrame>
      <xdr:nvGraphicFramePr>
        <xdr:cNvPr id="4" name="Chart 5"/>
        <xdr:cNvGraphicFramePr/>
      </xdr:nvGraphicFramePr>
      <xdr:xfrm>
        <a:off x="180975" y="0"/>
        <a:ext cx="528637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38100</xdr:rowOff>
    </xdr:from>
    <xdr:to>
      <xdr:col>9</xdr:col>
      <xdr:colOff>133350</xdr:colOff>
      <xdr:row>47</xdr:row>
      <xdr:rowOff>66675</xdr:rowOff>
    </xdr:to>
    <xdr:graphicFrame>
      <xdr:nvGraphicFramePr>
        <xdr:cNvPr id="1" name="Chart 1"/>
        <xdr:cNvGraphicFramePr/>
      </xdr:nvGraphicFramePr>
      <xdr:xfrm>
        <a:off x="333375" y="3924300"/>
        <a:ext cx="52863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238125</xdr:colOff>
      <xdr:row>24</xdr:row>
      <xdr:rowOff>9525</xdr:rowOff>
    </xdr:from>
    <xdr:to>
      <xdr:col>17</xdr:col>
      <xdr:colOff>381000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5724525" y="3895725"/>
        <a:ext cx="50196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0</xdr:row>
      <xdr:rowOff>0</xdr:rowOff>
    </xdr:from>
    <xdr:to>
      <xdr:col>17</xdr:col>
      <xdr:colOff>381000</xdr:colOff>
      <xdr:row>23</xdr:row>
      <xdr:rowOff>66675</xdr:rowOff>
    </xdr:to>
    <xdr:graphicFrame>
      <xdr:nvGraphicFramePr>
        <xdr:cNvPr id="3" name="Chart 3"/>
        <xdr:cNvGraphicFramePr/>
      </xdr:nvGraphicFramePr>
      <xdr:xfrm>
        <a:off x="5667375" y="0"/>
        <a:ext cx="5076825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304800</xdr:colOff>
      <xdr:row>0</xdr:row>
      <xdr:rowOff>0</xdr:rowOff>
    </xdr:from>
    <xdr:to>
      <xdr:col>9</xdr:col>
      <xdr:colOff>104775</xdr:colOff>
      <xdr:row>23</xdr:row>
      <xdr:rowOff>57150</xdr:rowOff>
    </xdr:to>
    <xdr:graphicFrame>
      <xdr:nvGraphicFramePr>
        <xdr:cNvPr id="4" name="Chart 5"/>
        <xdr:cNvGraphicFramePr/>
      </xdr:nvGraphicFramePr>
      <xdr:xfrm>
        <a:off x="304800" y="0"/>
        <a:ext cx="5286375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21</xdr:row>
      <xdr:rowOff>142875</xdr:rowOff>
    </xdr:from>
    <xdr:to>
      <xdr:col>9</xdr:col>
      <xdr:colOff>19050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219075" y="3543300"/>
        <a:ext cx="52863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0</xdr:row>
      <xdr:rowOff>9525</xdr:rowOff>
    </xdr:from>
    <xdr:to>
      <xdr:col>17</xdr:col>
      <xdr:colOff>542925</xdr:colOff>
      <xdr:row>20</xdr:row>
      <xdr:rowOff>133350</xdr:rowOff>
    </xdr:to>
    <xdr:graphicFrame>
      <xdr:nvGraphicFramePr>
        <xdr:cNvPr id="2" name="Chart 3"/>
        <xdr:cNvGraphicFramePr/>
      </xdr:nvGraphicFramePr>
      <xdr:xfrm>
        <a:off x="5629275" y="9525"/>
        <a:ext cx="5276850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0</xdr:row>
      <xdr:rowOff>9525</xdr:rowOff>
    </xdr:from>
    <xdr:to>
      <xdr:col>9</xdr:col>
      <xdr:colOff>0</xdr:colOff>
      <xdr:row>20</xdr:row>
      <xdr:rowOff>123825</xdr:rowOff>
    </xdr:to>
    <xdr:graphicFrame>
      <xdr:nvGraphicFramePr>
        <xdr:cNvPr id="3" name="Chart 5"/>
        <xdr:cNvGraphicFramePr/>
      </xdr:nvGraphicFramePr>
      <xdr:xfrm>
        <a:off x="238125" y="9525"/>
        <a:ext cx="524827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5"/>
  <sheetViews>
    <sheetView tabSelected="1" zoomScale="75" zoomScaleNormal="75" workbookViewId="0" topLeftCell="A7">
      <selection activeCell="N67" sqref="N67"/>
    </sheetView>
  </sheetViews>
  <sheetFormatPr defaultColWidth="9.140625" defaultRowHeight="12.75"/>
  <cols>
    <col min="1" max="2" width="9.140625" style="10" customWidth="1"/>
    <col min="3" max="3" width="63.00390625" style="10" bestFit="1" customWidth="1"/>
    <col min="4" max="4" width="13.28125" style="10" bestFit="1" customWidth="1"/>
    <col min="5" max="5" width="12.421875" style="10" bestFit="1" customWidth="1"/>
    <col min="6" max="6" width="13.57421875" style="10" bestFit="1" customWidth="1"/>
    <col min="7" max="8" width="13.00390625" style="10" bestFit="1" customWidth="1"/>
    <col min="9" max="9" width="12.7109375" style="10" bestFit="1" customWidth="1"/>
    <col min="10" max="15" width="13.00390625" style="10" bestFit="1" customWidth="1"/>
    <col min="16" max="16384" width="9.140625" style="10" customWidth="1"/>
  </cols>
  <sheetData>
    <row r="2" spans="3:15" ht="18">
      <c r="C2" s="144" t="s">
        <v>204</v>
      </c>
      <c r="D2" s="43" t="s">
        <v>0</v>
      </c>
      <c r="E2" s="43" t="s">
        <v>0</v>
      </c>
      <c r="F2" s="43" t="s">
        <v>0</v>
      </c>
      <c r="G2" s="43" t="s">
        <v>0</v>
      </c>
      <c r="H2" s="43" t="s">
        <v>0</v>
      </c>
      <c r="I2" s="43" t="s">
        <v>0</v>
      </c>
      <c r="J2" s="43" t="s">
        <v>0</v>
      </c>
      <c r="K2" s="43" t="s">
        <v>0</v>
      </c>
      <c r="L2" s="43" t="s">
        <v>0</v>
      </c>
      <c r="M2" s="43" t="s">
        <v>0</v>
      </c>
      <c r="N2" s="43" t="s">
        <v>0</v>
      </c>
      <c r="O2" s="43" t="s">
        <v>0</v>
      </c>
    </row>
    <row r="3" spans="3:15" ht="18">
      <c r="C3" s="144" t="s">
        <v>209</v>
      </c>
      <c r="D3" s="43" t="s">
        <v>1</v>
      </c>
      <c r="E3" s="43" t="s">
        <v>2</v>
      </c>
      <c r="F3" s="43" t="s">
        <v>3</v>
      </c>
      <c r="G3" s="43" t="s">
        <v>4</v>
      </c>
      <c r="H3" s="43" t="s">
        <v>5</v>
      </c>
      <c r="I3" s="43" t="s">
        <v>6</v>
      </c>
      <c r="J3" s="43" t="s">
        <v>7</v>
      </c>
      <c r="K3" s="43" t="s">
        <v>8</v>
      </c>
      <c r="L3" s="43" t="s">
        <v>9</v>
      </c>
      <c r="M3" s="43" t="s">
        <v>10</v>
      </c>
      <c r="N3" s="43" t="s">
        <v>11</v>
      </c>
      <c r="O3" s="43" t="s">
        <v>12</v>
      </c>
    </row>
    <row r="4" spans="3:22" s="39" customFormat="1" ht="15.75">
      <c r="C4" s="40"/>
      <c r="P4" s="41"/>
      <c r="Q4" s="41"/>
      <c r="R4" s="41"/>
      <c r="S4" s="41"/>
      <c r="T4" s="41"/>
      <c r="U4" s="41"/>
      <c r="V4" s="41"/>
    </row>
    <row r="5" spans="3:22" s="39" customFormat="1" ht="15.75">
      <c r="C5" s="44" t="s">
        <v>38</v>
      </c>
      <c r="D5" s="42">
        <f>AVERAGE('Cost (Summary)'!K7:K11,Quality!E8,Delivery!E35,Delivery!E31,Delivery!E27,Delivery!E24,Delivery!E20,Delivery!E16,Delivery!E12,Delivery!E8,'&lt;KPIs on Customer&gt;'!E7,'&lt;KPIs on Customer&gt;'!E12)</f>
        <v>391182.8910058807</v>
      </c>
      <c r="E5" s="42" t="e">
        <f>AVERAGE('Cost (Summary)'!L7:L11,Quality!F8,Delivery!F35,Delivery!F31,Delivery!F27,Delivery!F24,Delivery!F20,Delivery!F16,Delivery!F12,Delivery!F8,'&lt;KPIs on Customer&gt;'!F7,'&lt;KPIs on Customer&gt;'!F12)</f>
        <v>#DIV/0!</v>
      </c>
      <c r="F5" s="42" t="e">
        <f>AVERAGE('Cost (Summary)'!M7:M11,Quality!G8,Delivery!G35,Delivery!G31,Delivery!G27,Delivery!G24,Delivery!G20,Delivery!G16,Delivery!G12,Delivery!G8,'&lt;KPIs on Customer&gt;'!G7,'&lt;KPIs on Customer&gt;'!G12)</f>
        <v>#DIV/0!</v>
      </c>
      <c r="G5" s="42" t="e">
        <f>AVERAGE('Cost (Summary)'!N7:N11,Quality!H8,Delivery!H35,Delivery!H31,Delivery!H27,Delivery!H24,Delivery!H20,Delivery!H16,Delivery!H12,Delivery!H8,'&lt;KPIs on Customer&gt;'!H7,'&lt;KPIs on Customer&gt;'!H12)</f>
        <v>#DIV/0!</v>
      </c>
      <c r="H5" s="42" t="e">
        <f>AVERAGE('Cost (Summary)'!O7:O11,Quality!I8,Delivery!I35,Delivery!I31,Delivery!I27,Delivery!I24,Delivery!I20,Delivery!I16,Delivery!I12,Delivery!I8,'&lt;KPIs on Customer&gt;'!I7,'&lt;KPIs on Customer&gt;'!I12)</f>
        <v>#DIV/0!</v>
      </c>
      <c r="I5" s="42" t="e">
        <f>AVERAGE('Cost (Summary)'!P7:P11,Quality!J8,Delivery!J35,Delivery!J31,Delivery!J27,Delivery!J24,Delivery!J20,Delivery!J16,Delivery!J12,Delivery!J8,'&lt;KPIs on Customer&gt;'!J7,'&lt;KPIs on Customer&gt;'!J12)</f>
        <v>#DIV/0!</v>
      </c>
      <c r="J5" s="42" t="e">
        <f>AVERAGE('Cost (Summary)'!Q7:Q11,Quality!K8,Delivery!K35,Delivery!K31,Delivery!K27,Delivery!K24,Delivery!K20,Delivery!K16,Delivery!K12,Delivery!K8,'&lt;KPIs on Customer&gt;'!K7,'&lt;KPIs on Customer&gt;'!K12)</f>
        <v>#DIV/0!</v>
      </c>
      <c r="K5" s="42" t="e">
        <f>AVERAGE('Cost (Summary)'!R7:R11,Quality!L8,Delivery!L35,Delivery!L31,Delivery!L27,Delivery!L24,Delivery!L20,Delivery!L16,Delivery!L12,Delivery!L8,'&lt;KPIs on Customer&gt;'!L7,'&lt;KPIs on Customer&gt;'!L12)</f>
        <v>#DIV/0!</v>
      </c>
      <c r="L5" s="42" t="e">
        <f>AVERAGE('Cost (Summary)'!S7:S11,Quality!M8,Delivery!M35,Delivery!M31,Delivery!M27,Delivery!M24,Delivery!M20,Delivery!M16,Delivery!M12,Delivery!M8,'&lt;KPIs on Customer&gt;'!M7,'&lt;KPIs on Customer&gt;'!M12)</f>
        <v>#DIV/0!</v>
      </c>
      <c r="M5" s="42" t="e">
        <f>AVERAGE('Cost (Summary)'!T7:T11,Quality!N8,Delivery!N35,Delivery!N31,Delivery!N27,Delivery!N24,Delivery!N20,Delivery!N16,Delivery!N12,Delivery!N8,'&lt;KPIs on Customer&gt;'!N7,'&lt;KPIs on Customer&gt;'!N12)</f>
        <v>#DIV/0!</v>
      </c>
      <c r="N5" s="42" t="e">
        <f>AVERAGE('Cost (Summary)'!U7:U11,Quality!O8,Delivery!O35,Delivery!O31,Delivery!O27,Delivery!O24,Delivery!O20,Delivery!O16,Delivery!O12,Delivery!O8,'&lt;KPIs on Customer&gt;'!O7,'&lt;KPIs on Customer&gt;'!O12)</f>
        <v>#DIV/0!</v>
      </c>
      <c r="O5" s="42" t="e">
        <f>AVERAGE('Cost (Summary)'!V7:V11,Quality!P8,Delivery!P35,Delivery!P31,Delivery!P27,Delivery!P24,Delivery!P20,Delivery!P16,Delivery!P12,Delivery!P8,'&lt;KPIs on Customer&gt;'!P7,'&lt;KPIs on Customer&gt;'!P12)</f>
        <v>#DIV/0!</v>
      </c>
      <c r="P5" s="41"/>
      <c r="Q5" s="41"/>
      <c r="R5" s="41"/>
      <c r="S5" s="41"/>
      <c r="T5" s="41"/>
      <c r="U5" s="41"/>
      <c r="V5" s="41"/>
    </row>
    <row r="7" s="38" customFormat="1" ht="12.75"/>
    <row r="8" s="38" customFormat="1" ht="12.75"/>
    <row r="9" s="38" customFormat="1" ht="12.75"/>
    <row r="10" s="38" customFormat="1" ht="12.75"/>
    <row r="11" s="38" customFormat="1" ht="12.75"/>
    <row r="12" s="38" customFormat="1" ht="12.75"/>
    <row r="13" s="38" customFormat="1" ht="12.75"/>
    <row r="14" s="38" customFormat="1" ht="12.75"/>
    <row r="15" s="38" customFormat="1" ht="12.75"/>
    <row r="16" s="38" customFormat="1" ht="12.75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12.75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2.75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12.75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  <row r="80" s="38" customFormat="1" ht="12.75"/>
    <row r="81" s="38" customFormat="1" ht="12.75"/>
    <row r="82" s="38" customFormat="1" ht="12.75"/>
    <row r="83" s="38" customFormat="1" ht="12.75"/>
    <row r="84" s="38" customFormat="1" ht="12.75"/>
    <row r="85" s="38" customFormat="1" ht="12.75"/>
    <row r="86" s="38" customFormat="1" ht="12.75"/>
    <row r="87" s="38" customFormat="1" ht="12.75"/>
    <row r="88" s="38" customFormat="1" ht="12.75"/>
    <row r="89" s="38" customFormat="1" ht="12.75"/>
    <row r="90" s="38" customFormat="1" ht="12.75"/>
    <row r="91" s="38" customFormat="1" ht="12.75"/>
    <row r="92" s="38" customFormat="1" ht="12.75"/>
    <row r="93" s="38" customFormat="1" ht="12.75"/>
    <row r="94" s="38" customFormat="1" ht="12.75"/>
    <row r="95" s="38" customFormat="1" ht="12.75"/>
    <row r="96" s="38" customFormat="1" ht="12.75"/>
    <row r="97" s="38" customFormat="1" ht="12.75"/>
    <row r="98" s="38" customFormat="1" ht="12.75"/>
    <row r="99" s="38" customFormat="1" ht="12.75"/>
    <row r="100" s="38" customFormat="1" ht="12.75"/>
    <row r="101" s="38" customFormat="1" ht="12.75"/>
    <row r="102" s="38" customFormat="1" ht="12.75"/>
    <row r="103" s="38" customFormat="1" ht="12.75"/>
    <row r="104" s="38" customFormat="1" ht="12.75"/>
    <row r="105" s="38" customFormat="1" ht="12.75"/>
    <row r="106" s="38" customFormat="1" ht="12.75"/>
    <row r="107" s="38" customFormat="1" ht="12.75"/>
    <row r="108" s="38" customFormat="1" ht="12.75"/>
    <row r="109" s="38" customFormat="1" ht="12.75"/>
    <row r="110" s="38" customFormat="1" ht="12.75"/>
    <row r="111" s="38" customFormat="1" ht="12.75"/>
    <row r="112" s="38" customFormat="1" ht="12.75"/>
    <row r="113" s="38" customFormat="1" ht="12.75"/>
    <row r="114" s="38" customFormat="1" ht="12.75"/>
    <row r="115" s="38" customFormat="1" ht="12.75"/>
    <row r="116" s="38" customFormat="1" ht="12.75"/>
    <row r="117" s="38" customFormat="1" ht="12.75"/>
    <row r="118" s="38" customFormat="1" ht="12.75"/>
    <row r="119" s="38" customFormat="1" ht="12.75"/>
    <row r="120" s="38" customFormat="1" ht="12.75"/>
    <row r="121" s="38" customFormat="1" ht="12.75"/>
    <row r="122" s="38" customFormat="1" ht="12.75"/>
    <row r="123" s="38" customFormat="1" ht="12.75"/>
    <row r="124" s="38" customFormat="1" ht="12.75"/>
    <row r="125" s="38" customFormat="1" ht="12.75"/>
    <row r="126" s="38" customFormat="1" ht="12.75"/>
    <row r="127" s="38" customFormat="1" ht="12.75"/>
    <row r="128" s="38" customFormat="1" ht="12.75"/>
    <row r="129" s="38" customFormat="1" ht="12.75"/>
    <row r="130" s="38" customFormat="1" ht="12.75"/>
    <row r="131" s="38" customFormat="1" ht="12.75"/>
    <row r="132" s="38" customFormat="1" ht="12.75"/>
    <row r="133" s="38" customFormat="1" ht="12.75"/>
    <row r="134" s="38" customFormat="1" ht="12.75"/>
    <row r="135" s="38" customFormat="1" ht="12.75"/>
    <row r="136" s="38" customFormat="1" ht="12.75"/>
    <row r="137" s="38" customFormat="1" ht="12.75"/>
    <row r="138" s="38" customFormat="1" ht="12.75"/>
    <row r="139" s="38" customFormat="1" ht="12.75"/>
    <row r="140" s="38" customFormat="1" ht="12.75"/>
    <row r="141" s="38" customFormat="1" ht="12.75"/>
    <row r="142" s="38" customFormat="1" ht="12.75"/>
    <row r="143" s="38" customFormat="1" ht="12.75"/>
    <row r="144" s="38" customFormat="1" ht="12.75"/>
    <row r="145" s="38" customFormat="1" ht="12.75"/>
    <row r="146" s="38" customFormat="1" ht="12.75"/>
    <row r="147" s="38" customFormat="1" ht="12.75"/>
    <row r="148" s="38" customFormat="1" ht="12.75"/>
    <row r="149" s="38" customFormat="1" ht="12.75"/>
    <row r="150" s="38" customFormat="1" ht="12.75"/>
    <row r="151" s="38" customFormat="1" ht="12.75"/>
    <row r="152" s="38" customFormat="1" ht="12.75"/>
    <row r="153" s="38" customFormat="1" ht="12.75"/>
    <row r="154" s="38" customFormat="1" ht="12.75"/>
    <row r="155" s="38" customFormat="1" ht="12.75"/>
    <row r="156" s="38" customFormat="1" ht="12.75"/>
    <row r="157" s="38" customFormat="1" ht="12.75"/>
    <row r="158" s="38" customFormat="1" ht="12.75"/>
    <row r="159" s="38" customFormat="1" ht="12.75"/>
    <row r="160" s="38" customFormat="1" ht="12.75"/>
    <row r="161" s="38" customFormat="1" ht="12.75"/>
    <row r="162" s="38" customFormat="1" ht="12.75"/>
    <row r="163" s="38" customFormat="1" ht="12.75"/>
    <row r="164" s="38" customFormat="1" ht="12.75"/>
    <row r="165" s="38" customFormat="1" ht="12.75"/>
    <row r="166" s="38" customFormat="1" ht="12.75"/>
    <row r="167" s="38" customFormat="1" ht="12.75"/>
    <row r="168" s="38" customFormat="1" ht="12.75"/>
    <row r="169" s="38" customFormat="1" ht="12.75"/>
    <row r="170" s="38" customFormat="1" ht="12.75"/>
    <row r="171" s="38" customFormat="1" ht="12.75"/>
    <row r="172" s="38" customFormat="1" ht="12.75"/>
    <row r="173" s="38" customFormat="1" ht="12.75"/>
    <row r="174" s="38" customFormat="1" ht="12.75"/>
    <row r="175" s="38" customFormat="1" ht="12.75"/>
    <row r="176" s="38" customFormat="1" ht="12.75"/>
    <row r="177" s="38" customFormat="1" ht="12.75"/>
    <row r="178" s="38" customFormat="1" ht="12.75"/>
    <row r="179" s="38" customFormat="1" ht="12.75"/>
    <row r="180" s="38" customFormat="1" ht="12.75"/>
    <row r="181" s="38" customFormat="1" ht="12.75"/>
    <row r="182" s="38" customFormat="1" ht="12.75"/>
    <row r="183" s="38" customFormat="1" ht="12.75"/>
    <row r="184" s="38" customFormat="1" ht="12.75"/>
    <row r="185" s="38" customFormat="1" ht="12.75"/>
    <row r="186" s="38" customFormat="1" ht="12.75"/>
    <row r="187" s="38" customFormat="1" ht="12.75"/>
    <row r="188" s="38" customFormat="1" ht="12.75"/>
    <row r="189" s="38" customFormat="1" ht="12.75"/>
    <row r="190" s="38" customFormat="1" ht="12.75"/>
    <row r="191" s="38" customFormat="1" ht="12.75"/>
    <row r="192" s="38" customFormat="1" ht="12.75"/>
    <row r="193" s="38" customFormat="1" ht="12.75"/>
    <row r="194" s="38" customFormat="1" ht="12.75"/>
    <row r="195" s="38" customFormat="1" ht="12.75"/>
    <row r="196" s="38" customFormat="1" ht="12.75"/>
    <row r="197" s="38" customFormat="1" ht="12.75"/>
    <row r="198" s="38" customFormat="1" ht="12.75"/>
    <row r="199" s="38" customFormat="1" ht="12.75"/>
    <row r="200" s="38" customFormat="1" ht="12.75"/>
    <row r="201" s="38" customFormat="1" ht="12.75"/>
    <row r="202" s="38" customFormat="1" ht="12.75"/>
    <row r="203" s="38" customFormat="1" ht="12.75"/>
    <row r="204" s="38" customFormat="1" ht="12.75"/>
    <row r="205" s="38" customFormat="1" ht="12.75"/>
    <row r="206" s="38" customFormat="1" ht="12.75"/>
    <row r="207" s="38" customFormat="1" ht="12.75"/>
    <row r="208" s="38" customFormat="1" ht="12.75"/>
    <row r="209" s="38" customFormat="1" ht="12.75"/>
    <row r="210" s="38" customFormat="1" ht="12.75"/>
    <row r="211" s="38" customFormat="1" ht="12.75"/>
    <row r="212" s="38" customFormat="1" ht="12.75"/>
    <row r="213" s="38" customFormat="1" ht="12.75"/>
    <row r="214" s="38" customFormat="1" ht="12.75"/>
    <row r="215" s="38" customFormat="1" ht="12.75"/>
    <row r="216" s="38" customFormat="1" ht="12.75"/>
    <row r="217" s="38" customFormat="1" ht="12.75"/>
    <row r="218" s="38" customFormat="1" ht="12.75"/>
    <row r="219" s="38" customFormat="1" ht="12.75"/>
    <row r="220" s="38" customFormat="1" ht="12.75"/>
    <row r="221" s="38" customFormat="1" ht="12.75"/>
    <row r="222" s="38" customFormat="1" ht="12.75"/>
    <row r="223" s="38" customFormat="1" ht="12.75"/>
    <row r="224" s="38" customFormat="1" ht="12.75"/>
    <row r="225" s="38" customFormat="1" ht="12.75"/>
    <row r="226" s="38" customFormat="1" ht="12.75"/>
    <row r="227" s="38" customFormat="1" ht="12.75"/>
    <row r="228" s="38" customFormat="1" ht="12.75"/>
  </sheetData>
  <printOptions/>
  <pageMargins left="0.75" right="0.75" top="1" bottom="1" header="0.5" footer="0.5"/>
  <pageSetup fitToHeight="1" fitToWidth="1" horizontalDpi="600" verticalDpi="600" orientation="landscape" paperSize="9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24"/>
  <sheetViews>
    <sheetView workbookViewId="0" topLeftCell="A1">
      <selection activeCell="D2" sqref="D2"/>
    </sheetView>
  </sheetViews>
  <sheetFormatPr defaultColWidth="9.140625" defaultRowHeight="12.75"/>
  <cols>
    <col min="1" max="1" width="2.140625" style="10" customWidth="1"/>
    <col min="2" max="2" width="9.140625" style="10" customWidth="1"/>
    <col min="3" max="3" width="1.57421875" style="10" customWidth="1"/>
    <col min="4" max="16384" width="9.140625" style="10" customWidth="1"/>
  </cols>
  <sheetData>
    <row r="1" ht="12.75"/>
    <row r="2" spans="4:22" ht="18">
      <c r="D2" s="144" t="s">
        <v>204</v>
      </c>
      <c r="K2" s="13">
        <v>2009</v>
      </c>
      <c r="L2" s="13">
        <v>2009</v>
      </c>
      <c r="M2" s="13">
        <v>2009</v>
      </c>
      <c r="N2" s="13">
        <v>2009</v>
      </c>
      <c r="O2" s="13">
        <v>2009</v>
      </c>
      <c r="P2" s="13">
        <v>2009</v>
      </c>
      <c r="Q2" s="13">
        <v>2009</v>
      </c>
      <c r="R2" s="13">
        <v>2009</v>
      </c>
      <c r="S2" s="13">
        <v>2009</v>
      </c>
      <c r="T2" s="13">
        <v>2009</v>
      </c>
      <c r="U2" s="13">
        <v>2009</v>
      </c>
      <c r="V2" s="13">
        <v>2009</v>
      </c>
    </row>
    <row r="3" spans="4:22" ht="18">
      <c r="D3" s="144" t="s">
        <v>216</v>
      </c>
      <c r="K3" s="13" t="s">
        <v>1</v>
      </c>
      <c r="L3" s="13" t="s">
        <v>2</v>
      </c>
      <c r="M3" s="13" t="s">
        <v>3</v>
      </c>
      <c r="N3" s="13" t="s">
        <v>4</v>
      </c>
      <c r="O3" s="13" t="s">
        <v>5</v>
      </c>
      <c r="P3" s="13" t="s">
        <v>6</v>
      </c>
      <c r="Q3" s="13" t="s">
        <v>7</v>
      </c>
      <c r="R3" s="13" t="s">
        <v>8</v>
      </c>
      <c r="S3" s="13" t="s">
        <v>9</v>
      </c>
      <c r="T3" s="13" t="s">
        <v>10</v>
      </c>
      <c r="U3" s="13" t="s">
        <v>11</v>
      </c>
      <c r="V3" s="13" t="s">
        <v>12</v>
      </c>
    </row>
    <row r="4" ht="12.75"/>
    <row r="5" spans="4:10" ht="12.75">
      <c r="D5" s="50" t="s">
        <v>215</v>
      </c>
      <c r="G5" s="52"/>
      <c r="H5" s="52"/>
      <c r="I5" s="52"/>
      <c r="J5" s="52"/>
    </row>
    <row r="6" spans="1:22" s="16" customFormat="1" ht="12.75">
      <c r="A6" s="10"/>
      <c r="D6" s="138"/>
      <c r="G6" s="61"/>
      <c r="H6" s="70"/>
      <c r="I6" s="61"/>
      <c r="J6" s="61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</row>
    <row r="7" spans="4:10" ht="16.5" thickBot="1">
      <c r="D7" s="139" t="s">
        <v>124</v>
      </c>
      <c r="G7" s="52"/>
      <c r="H7" s="52"/>
      <c r="I7" s="52"/>
      <c r="J7" s="52"/>
    </row>
    <row r="8" spans="4:24" s="74" customFormat="1" ht="13.5" thickBot="1">
      <c r="D8" s="74" t="s">
        <v>100</v>
      </c>
      <c r="G8" s="114"/>
      <c r="H8" s="114"/>
      <c r="I8" s="114"/>
      <c r="J8" s="114"/>
      <c r="K8" s="92">
        <v>200</v>
      </c>
      <c r="L8" s="93"/>
      <c r="M8" s="93"/>
      <c r="N8" s="93"/>
      <c r="O8" s="93"/>
      <c r="P8" s="93"/>
      <c r="Q8" s="93"/>
      <c r="R8" s="93"/>
      <c r="S8" s="93"/>
      <c r="T8" s="93"/>
      <c r="U8" s="93"/>
      <c r="V8" s="94"/>
      <c r="X8" s="97"/>
    </row>
    <row r="9" spans="4:24" s="74" customFormat="1" ht="4.5" customHeight="1" thickBot="1">
      <c r="D9" s="98"/>
      <c r="G9" s="114"/>
      <c r="H9" s="114"/>
      <c r="I9" s="114"/>
      <c r="J9" s="114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X9" s="97"/>
    </row>
    <row r="10" spans="4:24" s="74" customFormat="1" ht="12.75">
      <c r="D10" s="98" t="s">
        <v>101</v>
      </c>
      <c r="G10" s="114"/>
      <c r="H10" s="114"/>
      <c r="I10" s="114"/>
      <c r="J10" s="114"/>
      <c r="K10" s="100">
        <v>250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2"/>
      <c r="X10" s="97"/>
    </row>
    <row r="11" spans="4:24" s="74" customFormat="1" ht="12.75">
      <c r="D11" s="98" t="s">
        <v>102</v>
      </c>
      <c r="G11" s="114"/>
      <c r="H11" s="114"/>
      <c r="I11" s="114"/>
      <c r="J11" s="114"/>
      <c r="K11" s="103">
        <v>500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X11" s="97"/>
    </row>
    <row r="12" spans="4:24" s="74" customFormat="1" ht="13.5" thickBot="1">
      <c r="D12" s="98" t="s">
        <v>103</v>
      </c>
      <c r="G12" s="114"/>
      <c r="H12" s="114"/>
      <c r="I12" s="114"/>
      <c r="J12" s="114"/>
      <c r="K12" s="106">
        <v>1000</v>
      </c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8"/>
      <c r="X12" s="97"/>
    </row>
    <row r="13" spans="2:24" s="74" customFormat="1" ht="12.75">
      <c r="B13" s="74" t="s">
        <v>192</v>
      </c>
      <c r="D13" s="109" t="s">
        <v>104</v>
      </c>
      <c r="G13" s="114"/>
      <c r="H13" s="114"/>
      <c r="I13" s="114"/>
      <c r="J13" s="114"/>
      <c r="K13" s="99">
        <f>SUM(K10:K12)</f>
        <v>1750</v>
      </c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X13" s="97"/>
    </row>
    <row r="14" spans="4:24" ht="6" customHeight="1">
      <c r="D14" s="45"/>
      <c r="G14" s="52"/>
      <c r="H14" s="52"/>
      <c r="I14" s="52"/>
      <c r="J14" s="52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X14" s="16"/>
    </row>
    <row r="15" spans="4:24" ht="12.75">
      <c r="D15" s="45" t="s">
        <v>105</v>
      </c>
      <c r="G15" s="52"/>
      <c r="H15" s="52"/>
      <c r="I15" s="52"/>
      <c r="J15" s="52"/>
      <c r="K15" s="95">
        <f>K10/K$8</f>
        <v>1.25</v>
      </c>
      <c r="L15" s="95" t="e">
        <f aca="true" t="shared" si="0" ref="L15:V15">L10/L$8</f>
        <v>#DIV/0!</v>
      </c>
      <c r="M15" s="95" t="e">
        <f t="shared" si="0"/>
        <v>#DIV/0!</v>
      </c>
      <c r="N15" s="95" t="e">
        <f t="shared" si="0"/>
        <v>#DIV/0!</v>
      </c>
      <c r="O15" s="95" t="e">
        <f t="shared" si="0"/>
        <v>#DIV/0!</v>
      </c>
      <c r="P15" s="95" t="e">
        <f t="shared" si="0"/>
        <v>#DIV/0!</v>
      </c>
      <c r="Q15" s="95" t="e">
        <f t="shared" si="0"/>
        <v>#DIV/0!</v>
      </c>
      <c r="R15" s="95" t="e">
        <f t="shared" si="0"/>
        <v>#DIV/0!</v>
      </c>
      <c r="S15" s="95" t="e">
        <f t="shared" si="0"/>
        <v>#DIV/0!</v>
      </c>
      <c r="T15" s="95" t="e">
        <f t="shared" si="0"/>
        <v>#DIV/0!</v>
      </c>
      <c r="U15" s="95" t="e">
        <f t="shared" si="0"/>
        <v>#DIV/0!</v>
      </c>
      <c r="V15" s="95" t="e">
        <f t="shared" si="0"/>
        <v>#DIV/0!</v>
      </c>
      <c r="X15" s="16"/>
    </row>
    <row r="16" spans="4:24" ht="12.75">
      <c r="D16" s="45" t="s">
        <v>106</v>
      </c>
      <c r="G16" s="52"/>
      <c r="H16" s="52"/>
      <c r="I16" s="52"/>
      <c r="J16" s="52"/>
      <c r="K16" s="95">
        <f>K11/K$8</f>
        <v>2.5</v>
      </c>
      <c r="L16" s="95" t="e">
        <f aca="true" t="shared" si="1" ref="L16:V16">L11/L$8</f>
        <v>#DIV/0!</v>
      </c>
      <c r="M16" s="95" t="e">
        <f t="shared" si="1"/>
        <v>#DIV/0!</v>
      </c>
      <c r="N16" s="95" t="e">
        <f t="shared" si="1"/>
        <v>#DIV/0!</v>
      </c>
      <c r="O16" s="95" t="e">
        <f t="shared" si="1"/>
        <v>#DIV/0!</v>
      </c>
      <c r="P16" s="95" t="e">
        <f t="shared" si="1"/>
        <v>#DIV/0!</v>
      </c>
      <c r="Q16" s="95" t="e">
        <f t="shared" si="1"/>
        <v>#DIV/0!</v>
      </c>
      <c r="R16" s="95" t="e">
        <f t="shared" si="1"/>
        <v>#DIV/0!</v>
      </c>
      <c r="S16" s="95" t="e">
        <f t="shared" si="1"/>
        <v>#DIV/0!</v>
      </c>
      <c r="T16" s="95" t="e">
        <f t="shared" si="1"/>
        <v>#DIV/0!</v>
      </c>
      <c r="U16" s="95" t="e">
        <f t="shared" si="1"/>
        <v>#DIV/0!</v>
      </c>
      <c r="V16" s="95" t="e">
        <f t="shared" si="1"/>
        <v>#DIV/0!</v>
      </c>
      <c r="X16" s="16"/>
    </row>
    <row r="17" spans="4:24" ht="12.75">
      <c r="D17" s="45" t="s">
        <v>107</v>
      </c>
      <c r="G17" s="52"/>
      <c r="H17" s="52"/>
      <c r="I17" s="52"/>
      <c r="J17" s="52"/>
      <c r="K17" s="95">
        <f>K12/K$8</f>
        <v>5</v>
      </c>
      <c r="L17" s="95" t="e">
        <f aca="true" t="shared" si="2" ref="L17:V17">L12/L$8</f>
        <v>#DIV/0!</v>
      </c>
      <c r="M17" s="95" t="e">
        <f t="shared" si="2"/>
        <v>#DIV/0!</v>
      </c>
      <c r="N17" s="95" t="e">
        <f t="shared" si="2"/>
        <v>#DIV/0!</v>
      </c>
      <c r="O17" s="95" t="e">
        <f t="shared" si="2"/>
        <v>#DIV/0!</v>
      </c>
      <c r="P17" s="95" t="e">
        <f t="shared" si="2"/>
        <v>#DIV/0!</v>
      </c>
      <c r="Q17" s="95" t="e">
        <f t="shared" si="2"/>
        <v>#DIV/0!</v>
      </c>
      <c r="R17" s="95" t="e">
        <f t="shared" si="2"/>
        <v>#DIV/0!</v>
      </c>
      <c r="S17" s="95" t="e">
        <f t="shared" si="2"/>
        <v>#DIV/0!</v>
      </c>
      <c r="T17" s="95" t="e">
        <f t="shared" si="2"/>
        <v>#DIV/0!</v>
      </c>
      <c r="U17" s="95" t="e">
        <f t="shared" si="2"/>
        <v>#DIV/0!</v>
      </c>
      <c r="V17" s="95" t="e">
        <f t="shared" si="2"/>
        <v>#DIV/0!</v>
      </c>
      <c r="X17" s="16"/>
    </row>
    <row r="18" spans="4:24" ht="13.5" thickBot="1">
      <c r="D18" s="45"/>
      <c r="G18" s="52"/>
      <c r="H18" s="52"/>
      <c r="I18" s="52"/>
      <c r="J18" s="52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X18" s="16"/>
    </row>
    <row r="19" spans="4:24" s="74" customFormat="1" ht="13.5" thickBot="1">
      <c r="D19" s="74" t="s">
        <v>108</v>
      </c>
      <c r="G19" s="114"/>
      <c r="H19" s="114"/>
      <c r="I19" s="114"/>
      <c r="J19" s="114"/>
      <c r="K19" s="92">
        <v>200</v>
      </c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4"/>
      <c r="X19" s="97"/>
    </row>
    <row r="20" spans="4:24" s="74" customFormat="1" ht="4.5" customHeight="1" thickBot="1">
      <c r="D20" s="98"/>
      <c r="G20" s="114"/>
      <c r="H20" s="114"/>
      <c r="I20" s="114"/>
      <c r="J20" s="114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X20" s="97"/>
    </row>
    <row r="21" spans="4:24" s="74" customFormat="1" ht="12.75">
      <c r="D21" s="98" t="s">
        <v>101</v>
      </c>
      <c r="G21" s="114"/>
      <c r="H21" s="114"/>
      <c r="I21" s="114"/>
      <c r="J21" s="114"/>
      <c r="K21" s="100">
        <v>250</v>
      </c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2"/>
      <c r="X21" s="97"/>
    </row>
    <row r="22" spans="4:24" s="74" customFormat="1" ht="12.75">
      <c r="D22" s="98" t="s">
        <v>102</v>
      </c>
      <c r="G22" s="114"/>
      <c r="H22" s="114"/>
      <c r="I22" s="114"/>
      <c r="J22" s="114"/>
      <c r="K22" s="103">
        <v>500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5"/>
      <c r="X22" s="97"/>
    </row>
    <row r="23" spans="4:24" s="74" customFormat="1" ht="13.5" thickBot="1">
      <c r="D23" s="98" t="s">
        <v>103</v>
      </c>
      <c r="G23" s="114"/>
      <c r="H23" s="114"/>
      <c r="I23" s="114"/>
      <c r="J23" s="114"/>
      <c r="K23" s="106">
        <v>1000</v>
      </c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  <c r="X23" s="97"/>
    </row>
    <row r="24" spans="2:24" s="74" customFormat="1" ht="12.75">
      <c r="B24" s="74" t="s">
        <v>193</v>
      </c>
      <c r="D24" s="109" t="s">
        <v>104</v>
      </c>
      <c r="G24" s="114"/>
      <c r="H24" s="114"/>
      <c r="I24" s="114"/>
      <c r="J24" s="114"/>
      <c r="K24" s="99">
        <f>SUM(K21:K23)</f>
        <v>1750</v>
      </c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X24" s="97"/>
    </row>
    <row r="25" spans="4:24" ht="6" customHeight="1">
      <c r="D25" s="45"/>
      <c r="G25" s="52"/>
      <c r="H25" s="52"/>
      <c r="I25" s="52"/>
      <c r="J25" s="52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X25" s="16"/>
    </row>
    <row r="26" spans="4:24" ht="12.75">
      <c r="D26" s="45" t="s">
        <v>105</v>
      </c>
      <c r="G26" s="52"/>
      <c r="H26" s="52"/>
      <c r="I26" s="52"/>
      <c r="J26" s="52"/>
      <c r="K26" s="95">
        <f>K21/K$8</f>
        <v>1.25</v>
      </c>
      <c r="L26" s="95" t="e">
        <f aca="true" t="shared" si="3" ref="L26:V26">L21/L$8</f>
        <v>#DIV/0!</v>
      </c>
      <c r="M26" s="95" t="e">
        <f t="shared" si="3"/>
        <v>#DIV/0!</v>
      </c>
      <c r="N26" s="95" t="e">
        <f t="shared" si="3"/>
        <v>#DIV/0!</v>
      </c>
      <c r="O26" s="95" t="e">
        <f t="shared" si="3"/>
        <v>#DIV/0!</v>
      </c>
      <c r="P26" s="95" t="e">
        <f t="shared" si="3"/>
        <v>#DIV/0!</v>
      </c>
      <c r="Q26" s="95" t="e">
        <f t="shared" si="3"/>
        <v>#DIV/0!</v>
      </c>
      <c r="R26" s="95" t="e">
        <f t="shared" si="3"/>
        <v>#DIV/0!</v>
      </c>
      <c r="S26" s="95" t="e">
        <f t="shared" si="3"/>
        <v>#DIV/0!</v>
      </c>
      <c r="T26" s="95" t="e">
        <f t="shared" si="3"/>
        <v>#DIV/0!</v>
      </c>
      <c r="U26" s="95" t="e">
        <f t="shared" si="3"/>
        <v>#DIV/0!</v>
      </c>
      <c r="V26" s="95" t="e">
        <f t="shared" si="3"/>
        <v>#DIV/0!</v>
      </c>
      <c r="X26" s="16"/>
    </row>
    <row r="27" spans="4:24" ht="12.75">
      <c r="D27" s="45" t="s">
        <v>106</v>
      </c>
      <c r="G27" s="52"/>
      <c r="H27" s="52"/>
      <c r="I27" s="52"/>
      <c r="J27" s="52"/>
      <c r="K27" s="95">
        <f>K22/K$8</f>
        <v>2.5</v>
      </c>
      <c r="L27" s="95" t="e">
        <f aca="true" t="shared" si="4" ref="L27:V27">L22/L$8</f>
        <v>#DIV/0!</v>
      </c>
      <c r="M27" s="95" t="e">
        <f t="shared" si="4"/>
        <v>#DIV/0!</v>
      </c>
      <c r="N27" s="95" t="e">
        <f t="shared" si="4"/>
        <v>#DIV/0!</v>
      </c>
      <c r="O27" s="95" t="e">
        <f t="shared" si="4"/>
        <v>#DIV/0!</v>
      </c>
      <c r="P27" s="95" t="e">
        <f t="shared" si="4"/>
        <v>#DIV/0!</v>
      </c>
      <c r="Q27" s="95" t="e">
        <f t="shared" si="4"/>
        <v>#DIV/0!</v>
      </c>
      <c r="R27" s="95" t="e">
        <f t="shared" si="4"/>
        <v>#DIV/0!</v>
      </c>
      <c r="S27" s="95" t="e">
        <f t="shared" si="4"/>
        <v>#DIV/0!</v>
      </c>
      <c r="T27" s="95" t="e">
        <f t="shared" si="4"/>
        <v>#DIV/0!</v>
      </c>
      <c r="U27" s="95" t="e">
        <f t="shared" si="4"/>
        <v>#DIV/0!</v>
      </c>
      <c r="V27" s="95" t="e">
        <f t="shared" si="4"/>
        <v>#DIV/0!</v>
      </c>
      <c r="X27" s="16"/>
    </row>
    <row r="28" spans="4:24" ht="12.75">
      <c r="D28" s="45" t="s">
        <v>107</v>
      </c>
      <c r="G28" s="52"/>
      <c r="H28" s="52"/>
      <c r="I28" s="52"/>
      <c r="J28" s="52"/>
      <c r="K28" s="95">
        <f>K23/K$8</f>
        <v>5</v>
      </c>
      <c r="L28" s="95" t="e">
        <f aca="true" t="shared" si="5" ref="L28:V28">L23/L$8</f>
        <v>#DIV/0!</v>
      </c>
      <c r="M28" s="95" t="e">
        <f t="shared" si="5"/>
        <v>#DIV/0!</v>
      </c>
      <c r="N28" s="95" t="e">
        <f t="shared" si="5"/>
        <v>#DIV/0!</v>
      </c>
      <c r="O28" s="95" t="e">
        <f t="shared" si="5"/>
        <v>#DIV/0!</v>
      </c>
      <c r="P28" s="95" t="e">
        <f t="shared" si="5"/>
        <v>#DIV/0!</v>
      </c>
      <c r="Q28" s="95" t="e">
        <f t="shared" si="5"/>
        <v>#DIV/0!</v>
      </c>
      <c r="R28" s="95" t="e">
        <f t="shared" si="5"/>
        <v>#DIV/0!</v>
      </c>
      <c r="S28" s="95" t="e">
        <f t="shared" si="5"/>
        <v>#DIV/0!</v>
      </c>
      <c r="T28" s="95" t="e">
        <f t="shared" si="5"/>
        <v>#DIV/0!</v>
      </c>
      <c r="U28" s="95" t="e">
        <f t="shared" si="5"/>
        <v>#DIV/0!</v>
      </c>
      <c r="V28" s="95" t="e">
        <f t="shared" si="5"/>
        <v>#DIV/0!</v>
      </c>
      <c r="X28" s="16"/>
    </row>
    <row r="29" spans="4:24" ht="13.5" thickBot="1">
      <c r="D29" s="45"/>
      <c r="G29" s="52"/>
      <c r="H29" s="52"/>
      <c r="I29" s="52"/>
      <c r="J29" s="52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X29" s="16"/>
    </row>
    <row r="30" spans="4:24" s="74" customFormat="1" ht="13.5" thickBot="1">
      <c r="D30" s="74" t="s">
        <v>109</v>
      </c>
      <c r="G30" s="114"/>
      <c r="H30" s="114"/>
      <c r="I30" s="114"/>
      <c r="J30" s="114"/>
      <c r="K30" s="92">
        <v>200</v>
      </c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4"/>
      <c r="X30" s="97"/>
    </row>
    <row r="31" spans="4:24" s="74" customFormat="1" ht="4.5" customHeight="1" thickBot="1">
      <c r="D31" s="98"/>
      <c r="G31" s="114"/>
      <c r="H31" s="114"/>
      <c r="I31" s="114"/>
      <c r="J31" s="114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X31" s="97"/>
    </row>
    <row r="32" spans="4:24" s="74" customFormat="1" ht="12.75">
      <c r="D32" s="98" t="s">
        <v>101</v>
      </c>
      <c r="G32" s="114"/>
      <c r="H32" s="114"/>
      <c r="I32" s="114"/>
      <c r="J32" s="114"/>
      <c r="K32" s="100">
        <v>250</v>
      </c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2"/>
      <c r="X32" s="97"/>
    </row>
    <row r="33" spans="4:24" s="74" customFormat="1" ht="12.75">
      <c r="D33" s="98" t="s">
        <v>102</v>
      </c>
      <c r="G33" s="114"/>
      <c r="H33" s="114"/>
      <c r="I33" s="114"/>
      <c r="J33" s="114"/>
      <c r="K33" s="103">
        <v>500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  <c r="X33" s="97"/>
    </row>
    <row r="34" spans="4:24" s="74" customFormat="1" ht="13.5" thickBot="1">
      <c r="D34" s="98" t="s">
        <v>103</v>
      </c>
      <c r="G34" s="114"/>
      <c r="H34" s="114"/>
      <c r="I34" s="114"/>
      <c r="J34" s="114"/>
      <c r="K34" s="106">
        <v>1000</v>
      </c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8"/>
      <c r="X34" s="97"/>
    </row>
    <row r="35" spans="2:24" s="74" customFormat="1" ht="12.75">
      <c r="B35" s="74" t="s">
        <v>194</v>
      </c>
      <c r="D35" s="109" t="s">
        <v>104</v>
      </c>
      <c r="G35" s="114"/>
      <c r="H35" s="114"/>
      <c r="I35" s="114"/>
      <c r="J35" s="114"/>
      <c r="K35" s="99">
        <f>SUM(K32:K34)</f>
        <v>1750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X35" s="97"/>
    </row>
    <row r="36" spans="4:24" ht="6" customHeight="1">
      <c r="D36" s="45"/>
      <c r="G36" s="52"/>
      <c r="H36" s="52"/>
      <c r="I36" s="52"/>
      <c r="J36" s="52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X36" s="16"/>
    </row>
    <row r="37" spans="4:24" ht="12.75">
      <c r="D37" s="45" t="s">
        <v>105</v>
      </c>
      <c r="G37" s="52"/>
      <c r="H37" s="52"/>
      <c r="I37" s="52"/>
      <c r="J37" s="52"/>
      <c r="K37" s="95">
        <f>K32/K$8</f>
        <v>1.25</v>
      </c>
      <c r="L37" s="95" t="e">
        <f aca="true" t="shared" si="6" ref="L37:V37">L32/L$8</f>
        <v>#DIV/0!</v>
      </c>
      <c r="M37" s="95" t="e">
        <f t="shared" si="6"/>
        <v>#DIV/0!</v>
      </c>
      <c r="N37" s="95" t="e">
        <f t="shared" si="6"/>
        <v>#DIV/0!</v>
      </c>
      <c r="O37" s="95" t="e">
        <f t="shared" si="6"/>
        <v>#DIV/0!</v>
      </c>
      <c r="P37" s="95" t="e">
        <f t="shared" si="6"/>
        <v>#DIV/0!</v>
      </c>
      <c r="Q37" s="95" t="e">
        <f t="shared" si="6"/>
        <v>#DIV/0!</v>
      </c>
      <c r="R37" s="95" t="e">
        <f t="shared" si="6"/>
        <v>#DIV/0!</v>
      </c>
      <c r="S37" s="95" t="e">
        <f t="shared" si="6"/>
        <v>#DIV/0!</v>
      </c>
      <c r="T37" s="95" t="e">
        <f t="shared" si="6"/>
        <v>#DIV/0!</v>
      </c>
      <c r="U37" s="95" t="e">
        <f t="shared" si="6"/>
        <v>#DIV/0!</v>
      </c>
      <c r="V37" s="95" t="e">
        <f t="shared" si="6"/>
        <v>#DIV/0!</v>
      </c>
      <c r="X37" s="16"/>
    </row>
    <row r="38" spans="4:24" ht="12.75">
      <c r="D38" s="45" t="s">
        <v>106</v>
      </c>
      <c r="G38" s="52"/>
      <c r="H38" s="52"/>
      <c r="I38" s="52"/>
      <c r="J38" s="52"/>
      <c r="K38" s="95">
        <f>K33/K$8</f>
        <v>2.5</v>
      </c>
      <c r="L38" s="95" t="e">
        <f aca="true" t="shared" si="7" ref="L38:V38">L33/L$8</f>
        <v>#DIV/0!</v>
      </c>
      <c r="M38" s="95" t="e">
        <f t="shared" si="7"/>
        <v>#DIV/0!</v>
      </c>
      <c r="N38" s="95" t="e">
        <f t="shared" si="7"/>
        <v>#DIV/0!</v>
      </c>
      <c r="O38" s="95" t="e">
        <f t="shared" si="7"/>
        <v>#DIV/0!</v>
      </c>
      <c r="P38" s="95" t="e">
        <f t="shared" si="7"/>
        <v>#DIV/0!</v>
      </c>
      <c r="Q38" s="95" t="e">
        <f t="shared" si="7"/>
        <v>#DIV/0!</v>
      </c>
      <c r="R38" s="95" t="e">
        <f t="shared" si="7"/>
        <v>#DIV/0!</v>
      </c>
      <c r="S38" s="95" t="e">
        <f t="shared" si="7"/>
        <v>#DIV/0!</v>
      </c>
      <c r="T38" s="95" t="e">
        <f t="shared" si="7"/>
        <v>#DIV/0!</v>
      </c>
      <c r="U38" s="95" t="e">
        <f t="shared" si="7"/>
        <v>#DIV/0!</v>
      </c>
      <c r="V38" s="95" t="e">
        <f t="shared" si="7"/>
        <v>#DIV/0!</v>
      </c>
      <c r="X38" s="16"/>
    </row>
    <row r="39" spans="4:24" ht="12.75">
      <c r="D39" s="45" t="s">
        <v>107</v>
      </c>
      <c r="G39" s="52"/>
      <c r="H39" s="52"/>
      <c r="I39" s="52"/>
      <c r="J39" s="52"/>
      <c r="K39" s="95">
        <f>K34/K$8</f>
        <v>5</v>
      </c>
      <c r="L39" s="95" t="e">
        <f aca="true" t="shared" si="8" ref="L39:V39">L34/L$8</f>
        <v>#DIV/0!</v>
      </c>
      <c r="M39" s="95" t="e">
        <f t="shared" si="8"/>
        <v>#DIV/0!</v>
      </c>
      <c r="N39" s="95" t="e">
        <f t="shared" si="8"/>
        <v>#DIV/0!</v>
      </c>
      <c r="O39" s="95" t="e">
        <f t="shared" si="8"/>
        <v>#DIV/0!</v>
      </c>
      <c r="P39" s="95" t="e">
        <f t="shared" si="8"/>
        <v>#DIV/0!</v>
      </c>
      <c r="Q39" s="95" t="e">
        <f t="shared" si="8"/>
        <v>#DIV/0!</v>
      </c>
      <c r="R39" s="95" t="e">
        <f t="shared" si="8"/>
        <v>#DIV/0!</v>
      </c>
      <c r="S39" s="95" t="e">
        <f t="shared" si="8"/>
        <v>#DIV/0!</v>
      </c>
      <c r="T39" s="95" t="e">
        <f t="shared" si="8"/>
        <v>#DIV/0!</v>
      </c>
      <c r="U39" s="95" t="e">
        <f t="shared" si="8"/>
        <v>#DIV/0!</v>
      </c>
      <c r="V39" s="95" t="e">
        <f t="shared" si="8"/>
        <v>#DIV/0!</v>
      </c>
      <c r="X39" s="16"/>
    </row>
    <row r="40" spans="4:24" ht="13.5" thickBot="1">
      <c r="D40" s="45"/>
      <c r="G40" s="52"/>
      <c r="H40" s="52"/>
      <c r="I40" s="52"/>
      <c r="J40" s="52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X40" s="16"/>
    </row>
    <row r="41" spans="4:24" s="74" customFormat="1" ht="13.5" thickBot="1">
      <c r="D41" s="74" t="s">
        <v>110</v>
      </c>
      <c r="G41" s="114"/>
      <c r="H41" s="114"/>
      <c r="I41" s="114"/>
      <c r="J41" s="114"/>
      <c r="K41" s="92">
        <v>200</v>
      </c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4"/>
      <c r="X41" s="97"/>
    </row>
    <row r="42" spans="4:24" s="74" customFormat="1" ht="4.5" customHeight="1" thickBot="1">
      <c r="D42" s="98"/>
      <c r="G42" s="114"/>
      <c r="H42" s="114"/>
      <c r="I42" s="114"/>
      <c r="J42" s="114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X42" s="97"/>
    </row>
    <row r="43" spans="4:24" s="74" customFormat="1" ht="12.75">
      <c r="D43" s="98" t="s">
        <v>101</v>
      </c>
      <c r="G43" s="114"/>
      <c r="H43" s="114"/>
      <c r="I43" s="114"/>
      <c r="J43" s="114"/>
      <c r="K43" s="100">
        <v>250</v>
      </c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2"/>
      <c r="X43" s="97"/>
    </row>
    <row r="44" spans="4:24" s="74" customFormat="1" ht="12.75">
      <c r="D44" s="98" t="s">
        <v>102</v>
      </c>
      <c r="G44" s="114"/>
      <c r="H44" s="114"/>
      <c r="I44" s="114"/>
      <c r="J44" s="114"/>
      <c r="K44" s="103">
        <v>500</v>
      </c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5"/>
      <c r="X44" s="97"/>
    </row>
    <row r="45" spans="4:24" s="74" customFormat="1" ht="13.5" thickBot="1">
      <c r="D45" s="98" t="s">
        <v>103</v>
      </c>
      <c r="G45" s="114"/>
      <c r="H45" s="114"/>
      <c r="I45" s="114"/>
      <c r="J45" s="114"/>
      <c r="K45" s="106">
        <v>1000</v>
      </c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8"/>
      <c r="X45" s="97"/>
    </row>
    <row r="46" spans="2:24" s="74" customFormat="1" ht="12.75">
      <c r="B46" s="74" t="s">
        <v>195</v>
      </c>
      <c r="D46" s="109" t="s">
        <v>104</v>
      </c>
      <c r="G46" s="114"/>
      <c r="H46" s="114"/>
      <c r="I46" s="114"/>
      <c r="J46" s="114"/>
      <c r="K46" s="99">
        <f>SUM(K43:K45)</f>
        <v>1750</v>
      </c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X46" s="97"/>
    </row>
    <row r="47" spans="4:24" ht="6" customHeight="1">
      <c r="D47" s="45"/>
      <c r="G47" s="52"/>
      <c r="H47" s="52"/>
      <c r="I47" s="52"/>
      <c r="J47" s="52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X47" s="16"/>
    </row>
    <row r="48" spans="4:24" ht="12.75">
      <c r="D48" s="45" t="s">
        <v>105</v>
      </c>
      <c r="G48" s="52"/>
      <c r="H48" s="52"/>
      <c r="I48" s="52"/>
      <c r="J48" s="52"/>
      <c r="K48" s="95">
        <f>K43/K$8</f>
        <v>1.25</v>
      </c>
      <c r="L48" s="95" t="e">
        <f aca="true" t="shared" si="9" ref="L48:V48">L43/L$8</f>
        <v>#DIV/0!</v>
      </c>
      <c r="M48" s="95" t="e">
        <f t="shared" si="9"/>
        <v>#DIV/0!</v>
      </c>
      <c r="N48" s="95" t="e">
        <f t="shared" si="9"/>
        <v>#DIV/0!</v>
      </c>
      <c r="O48" s="95" t="e">
        <f t="shared" si="9"/>
        <v>#DIV/0!</v>
      </c>
      <c r="P48" s="95" t="e">
        <f t="shared" si="9"/>
        <v>#DIV/0!</v>
      </c>
      <c r="Q48" s="95" t="e">
        <f t="shared" si="9"/>
        <v>#DIV/0!</v>
      </c>
      <c r="R48" s="95" t="e">
        <f t="shared" si="9"/>
        <v>#DIV/0!</v>
      </c>
      <c r="S48" s="95" t="e">
        <f t="shared" si="9"/>
        <v>#DIV/0!</v>
      </c>
      <c r="T48" s="95" t="e">
        <f t="shared" si="9"/>
        <v>#DIV/0!</v>
      </c>
      <c r="U48" s="95" t="e">
        <f t="shared" si="9"/>
        <v>#DIV/0!</v>
      </c>
      <c r="V48" s="95" t="e">
        <f t="shared" si="9"/>
        <v>#DIV/0!</v>
      </c>
      <c r="X48" s="16"/>
    </row>
    <row r="49" spans="4:24" ht="12.75">
      <c r="D49" s="45" t="s">
        <v>106</v>
      </c>
      <c r="G49" s="52"/>
      <c r="H49" s="52"/>
      <c r="I49" s="52"/>
      <c r="J49" s="52"/>
      <c r="K49" s="95">
        <f>K44/K$8</f>
        <v>2.5</v>
      </c>
      <c r="L49" s="95" t="e">
        <f aca="true" t="shared" si="10" ref="L49:V49">L44/L$8</f>
        <v>#DIV/0!</v>
      </c>
      <c r="M49" s="95" t="e">
        <f t="shared" si="10"/>
        <v>#DIV/0!</v>
      </c>
      <c r="N49" s="95" t="e">
        <f t="shared" si="10"/>
        <v>#DIV/0!</v>
      </c>
      <c r="O49" s="95" t="e">
        <f t="shared" si="10"/>
        <v>#DIV/0!</v>
      </c>
      <c r="P49" s="95" t="e">
        <f t="shared" si="10"/>
        <v>#DIV/0!</v>
      </c>
      <c r="Q49" s="95" t="e">
        <f t="shared" si="10"/>
        <v>#DIV/0!</v>
      </c>
      <c r="R49" s="95" t="e">
        <f t="shared" si="10"/>
        <v>#DIV/0!</v>
      </c>
      <c r="S49" s="95" t="e">
        <f t="shared" si="10"/>
        <v>#DIV/0!</v>
      </c>
      <c r="T49" s="95" t="e">
        <f t="shared" si="10"/>
        <v>#DIV/0!</v>
      </c>
      <c r="U49" s="95" t="e">
        <f t="shared" si="10"/>
        <v>#DIV/0!</v>
      </c>
      <c r="V49" s="95" t="e">
        <f t="shared" si="10"/>
        <v>#DIV/0!</v>
      </c>
      <c r="X49" s="16"/>
    </row>
    <row r="50" spans="4:24" ht="12.75">
      <c r="D50" s="45" t="s">
        <v>107</v>
      </c>
      <c r="G50" s="52"/>
      <c r="H50" s="52"/>
      <c r="I50" s="52"/>
      <c r="J50" s="52"/>
      <c r="K50" s="95">
        <f>K45/K$8</f>
        <v>5</v>
      </c>
      <c r="L50" s="95" t="e">
        <f aca="true" t="shared" si="11" ref="L50:V50">L45/L$8</f>
        <v>#DIV/0!</v>
      </c>
      <c r="M50" s="95" t="e">
        <f t="shared" si="11"/>
        <v>#DIV/0!</v>
      </c>
      <c r="N50" s="95" t="e">
        <f t="shared" si="11"/>
        <v>#DIV/0!</v>
      </c>
      <c r="O50" s="95" t="e">
        <f t="shared" si="11"/>
        <v>#DIV/0!</v>
      </c>
      <c r="P50" s="95" t="e">
        <f t="shared" si="11"/>
        <v>#DIV/0!</v>
      </c>
      <c r="Q50" s="95" t="e">
        <f t="shared" si="11"/>
        <v>#DIV/0!</v>
      </c>
      <c r="R50" s="95" t="e">
        <f t="shared" si="11"/>
        <v>#DIV/0!</v>
      </c>
      <c r="S50" s="95" t="e">
        <f t="shared" si="11"/>
        <v>#DIV/0!</v>
      </c>
      <c r="T50" s="95" t="e">
        <f t="shared" si="11"/>
        <v>#DIV/0!</v>
      </c>
      <c r="U50" s="95" t="e">
        <f t="shared" si="11"/>
        <v>#DIV/0!</v>
      </c>
      <c r="V50" s="95" t="e">
        <f t="shared" si="11"/>
        <v>#DIV/0!</v>
      </c>
      <c r="X50" s="16"/>
    </row>
    <row r="51" spans="4:24" ht="13.5" thickBot="1">
      <c r="D51" s="45"/>
      <c r="G51" s="52"/>
      <c r="H51" s="52"/>
      <c r="I51" s="52"/>
      <c r="J51" s="52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X51" s="16"/>
    </row>
    <row r="52" spans="4:24" s="74" customFormat="1" ht="13.5" thickBot="1">
      <c r="D52" s="74" t="s">
        <v>111</v>
      </c>
      <c r="G52" s="114"/>
      <c r="H52" s="114"/>
      <c r="I52" s="114"/>
      <c r="J52" s="114"/>
      <c r="K52" s="92">
        <v>200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4"/>
      <c r="X52" s="97"/>
    </row>
    <row r="53" spans="4:24" s="74" customFormat="1" ht="4.5" customHeight="1" thickBot="1">
      <c r="D53" s="98"/>
      <c r="G53" s="114"/>
      <c r="H53" s="114"/>
      <c r="I53" s="114"/>
      <c r="J53" s="114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X53" s="97"/>
    </row>
    <row r="54" spans="4:24" s="74" customFormat="1" ht="12.75">
      <c r="D54" s="98" t="s">
        <v>101</v>
      </c>
      <c r="G54" s="114"/>
      <c r="H54" s="114"/>
      <c r="I54" s="114"/>
      <c r="J54" s="114"/>
      <c r="K54" s="100">
        <v>250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2"/>
      <c r="X54" s="97"/>
    </row>
    <row r="55" spans="4:24" s="74" customFormat="1" ht="12.75">
      <c r="D55" s="98" t="s">
        <v>102</v>
      </c>
      <c r="G55" s="114"/>
      <c r="H55" s="114"/>
      <c r="I55" s="114"/>
      <c r="J55" s="114"/>
      <c r="K55" s="103">
        <v>500</v>
      </c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5"/>
      <c r="X55" s="97"/>
    </row>
    <row r="56" spans="4:24" s="74" customFormat="1" ht="13.5" thickBot="1">
      <c r="D56" s="98" t="s">
        <v>103</v>
      </c>
      <c r="G56" s="114"/>
      <c r="H56" s="114"/>
      <c r="I56" s="114"/>
      <c r="J56" s="114"/>
      <c r="K56" s="106">
        <v>1000</v>
      </c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8"/>
      <c r="X56" s="97"/>
    </row>
    <row r="57" spans="2:24" s="74" customFormat="1" ht="12.75">
      <c r="B57" s="74" t="s">
        <v>193</v>
      </c>
      <c r="D57" s="109" t="s">
        <v>104</v>
      </c>
      <c r="G57" s="114"/>
      <c r="H57" s="114"/>
      <c r="I57" s="114"/>
      <c r="J57" s="114"/>
      <c r="K57" s="99">
        <f>SUM(K54:K56)</f>
        <v>1750</v>
      </c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X57" s="97"/>
    </row>
    <row r="58" spans="4:24" ht="6" customHeight="1">
      <c r="D58" s="45"/>
      <c r="G58" s="52"/>
      <c r="H58" s="52"/>
      <c r="I58" s="52"/>
      <c r="J58" s="52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X58" s="16"/>
    </row>
    <row r="59" spans="4:24" ht="12.75">
      <c r="D59" s="45" t="s">
        <v>105</v>
      </c>
      <c r="G59" s="52"/>
      <c r="H59" s="52"/>
      <c r="I59" s="52"/>
      <c r="J59" s="52"/>
      <c r="K59" s="95">
        <f>K54/K$8</f>
        <v>1.25</v>
      </c>
      <c r="L59" s="95" t="e">
        <f aca="true" t="shared" si="12" ref="L59:V59">L54/L$8</f>
        <v>#DIV/0!</v>
      </c>
      <c r="M59" s="95" t="e">
        <f t="shared" si="12"/>
        <v>#DIV/0!</v>
      </c>
      <c r="N59" s="95" t="e">
        <f t="shared" si="12"/>
        <v>#DIV/0!</v>
      </c>
      <c r="O59" s="95" t="e">
        <f t="shared" si="12"/>
        <v>#DIV/0!</v>
      </c>
      <c r="P59" s="95" t="e">
        <f t="shared" si="12"/>
        <v>#DIV/0!</v>
      </c>
      <c r="Q59" s="95" t="e">
        <f t="shared" si="12"/>
        <v>#DIV/0!</v>
      </c>
      <c r="R59" s="95" t="e">
        <f t="shared" si="12"/>
        <v>#DIV/0!</v>
      </c>
      <c r="S59" s="95" t="e">
        <f t="shared" si="12"/>
        <v>#DIV/0!</v>
      </c>
      <c r="T59" s="95" t="e">
        <f t="shared" si="12"/>
        <v>#DIV/0!</v>
      </c>
      <c r="U59" s="95" t="e">
        <f t="shared" si="12"/>
        <v>#DIV/0!</v>
      </c>
      <c r="V59" s="95" t="e">
        <f t="shared" si="12"/>
        <v>#DIV/0!</v>
      </c>
      <c r="X59" s="16"/>
    </row>
    <row r="60" spans="4:24" ht="12.75">
      <c r="D60" s="45" t="s">
        <v>106</v>
      </c>
      <c r="G60" s="52"/>
      <c r="H60" s="52"/>
      <c r="I60" s="52"/>
      <c r="J60" s="52"/>
      <c r="K60" s="95">
        <f>K55/K$8</f>
        <v>2.5</v>
      </c>
      <c r="L60" s="95" t="e">
        <f aca="true" t="shared" si="13" ref="L60:V60">L55/L$8</f>
        <v>#DIV/0!</v>
      </c>
      <c r="M60" s="95" t="e">
        <f t="shared" si="13"/>
        <v>#DIV/0!</v>
      </c>
      <c r="N60" s="95" t="e">
        <f t="shared" si="13"/>
        <v>#DIV/0!</v>
      </c>
      <c r="O60" s="95" t="e">
        <f t="shared" si="13"/>
        <v>#DIV/0!</v>
      </c>
      <c r="P60" s="95" t="e">
        <f t="shared" si="13"/>
        <v>#DIV/0!</v>
      </c>
      <c r="Q60" s="95" t="e">
        <f t="shared" si="13"/>
        <v>#DIV/0!</v>
      </c>
      <c r="R60" s="95" t="e">
        <f t="shared" si="13"/>
        <v>#DIV/0!</v>
      </c>
      <c r="S60" s="95" t="e">
        <f t="shared" si="13"/>
        <v>#DIV/0!</v>
      </c>
      <c r="T60" s="95" t="e">
        <f t="shared" si="13"/>
        <v>#DIV/0!</v>
      </c>
      <c r="U60" s="95" t="e">
        <f t="shared" si="13"/>
        <v>#DIV/0!</v>
      </c>
      <c r="V60" s="95" t="e">
        <f t="shared" si="13"/>
        <v>#DIV/0!</v>
      </c>
      <c r="X60" s="16"/>
    </row>
    <row r="61" spans="4:24" ht="12.75">
      <c r="D61" s="45" t="s">
        <v>107</v>
      </c>
      <c r="G61" s="52"/>
      <c r="H61" s="52"/>
      <c r="I61" s="52"/>
      <c r="J61" s="52"/>
      <c r="K61" s="95">
        <f>K56/K$8</f>
        <v>5</v>
      </c>
      <c r="L61" s="95" t="e">
        <f aca="true" t="shared" si="14" ref="L61:V61">L56/L$8</f>
        <v>#DIV/0!</v>
      </c>
      <c r="M61" s="95" t="e">
        <f t="shared" si="14"/>
        <v>#DIV/0!</v>
      </c>
      <c r="N61" s="95" t="e">
        <f t="shared" si="14"/>
        <v>#DIV/0!</v>
      </c>
      <c r="O61" s="95" t="e">
        <f t="shared" si="14"/>
        <v>#DIV/0!</v>
      </c>
      <c r="P61" s="95" t="e">
        <f t="shared" si="14"/>
        <v>#DIV/0!</v>
      </c>
      <c r="Q61" s="95" t="e">
        <f t="shared" si="14"/>
        <v>#DIV/0!</v>
      </c>
      <c r="R61" s="95" t="e">
        <f t="shared" si="14"/>
        <v>#DIV/0!</v>
      </c>
      <c r="S61" s="95" t="e">
        <f t="shared" si="14"/>
        <v>#DIV/0!</v>
      </c>
      <c r="T61" s="95" t="e">
        <f t="shared" si="14"/>
        <v>#DIV/0!</v>
      </c>
      <c r="U61" s="95" t="e">
        <f t="shared" si="14"/>
        <v>#DIV/0!</v>
      </c>
      <c r="V61" s="95" t="e">
        <f t="shared" si="14"/>
        <v>#DIV/0!</v>
      </c>
      <c r="X61" s="16"/>
    </row>
    <row r="62" spans="4:24" ht="13.5" thickBot="1">
      <c r="D62" s="45"/>
      <c r="G62" s="52"/>
      <c r="H62" s="52"/>
      <c r="I62" s="52"/>
      <c r="J62" s="52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X62" s="16"/>
    </row>
    <row r="63" spans="4:24" s="74" customFormat="1" ht="13.5" thickBot="1">
      <c r="D63" s="74" t="s">
        <v>112</v>
      </c>
      <c r="G63" s="114"/>
      <c r="H63" s="114"/>
      <c r="I63" s="114"/>
      <c r="J63" s="114"/>
      <c r="K63" s="92">
        <v>200</v>
      </c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4"/>
      <c r="X63" s="97"/>
    </row>
    <row r="64" spans="4:24" s="74" customFormat="1" ht="4.5" customHeight="1" thickBot="1">
      <c r="D64" s="98"/>
      <c r="G64" s="114"/>
      <c r="H64" s="114"/>
      <c r="I64" s="114"/>
      <c r="J64" s="114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X64" s="97"/>
    </row>
    <row r="65" spans="4:24" s="74" customFormat="1" ht="12.75">
      <c r="D65" s="98" t="s">
        <v>101</v>
      </c>
      <c r="G65" s="114"/>
      <c r="H65" s="114"/>
      <c r="I65" s="114"/>
      <c r="J65" s="114"/>
      <c r="K65" s="100">
        <v>250</v>
      </c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2"/>
      <c r="X65" s="97"/>
    </row>
    <row r="66" spans="4:24" s="74" customFormat="1" ht="12.75">
      <c r="D66" s="98" t="s">
        <v>102</v>
      </c>
      <c r="G66" s="114"/>
      <c r="H66" s="114"/>
      <c r="I66" s="114"/>
      <c r="J66" s="114"/>
      <c r="K66" s="103">
        <v>500</v>
      </c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5"/>
      <c r="X66" s="97"/>
    </row>
    <row r="67" spans="4:24" s="74" customFormat="1" ht="13.5" thickBot="1">
      <c r="D67" s="98" t="s">
        <v>103</v>
      </c>
      <c r="G67" s="114"/>
      <c r="H67" s="114"/>
      <c r="I67" s="114"/>
      <c r="J67" s="114"/>
      <c r="K67" s="106">
        <v>1000</v>
      </c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8"/>
      <c r="X67" s="97"/>
    </row>
    <row r="68" spans="2:24" s="74" customFormat="1" ht="12.75">
      <c r="B68" s="74" t="s">
        <v>196</v>
      </c>
      <c r="D68" s="109" t="s">
        <v>104</v>
      </c>
      <c r="G68" s="114"/>
      <c r="H68" s="114"/>
      <c r="I68" s="114"/>
      <c r="J68" s="114"/>
      <c r="K68" s="99">
        <f>SUM(K65:K67)</f>
        <v>1750</v>
      </c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X68" s="97"/>
    </row>
    <row r="69" spans="4:24" ht="6" customHeight="1">
      <c r="D69" s="45"/>
      <c r="G69" s="52"/>
      <c r="H69" s="52"/>
      <c r="I69" s="52"/>
      <c r="J69" s="52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X69" s="16"/>
    </row>
    <row r="70" spans="4:24" ht="12.75">
      <c r="D70" s="45" t="s">
        <v>105</v>
      </c>
      <c r="G70" s="52"/>
      <c r="H70" s="52"/>
      <c r="I70" s="52"/>
      <c r="J70" s="52"/>
      <c r="K70" s="95">
        <f>K65/K$8</f>
        <v>1.25</v>
      </c>
      <c r="L70" s="95" t="e">
        <f aca="true" t="shared" si="15" ref="L70:V70">L65/L$8</f>
        <v>#DIV/0!</v>
      </c>
      <c r="M70" s="95" t="e">
        <f t="shared" si="15"/>
        <v>#DIV/0!</v>
      </c>
      <c r="N70" s="95" t="e">
        <f t="shared" si="15"/>
        <v>#DIV/0!</v>
      </c>
      <c r="O70" s="95" t="e">
        <f t="shared" si="15"/>
        <v>#DIV/0!</v>
      </c>
      <c r="P70" s="95" t="e">
        <f t="shared" si="15"/>
        <v>#DIV/0!</v>
      </c>
      <c r="Q70" s="95" t="e">
        <f t="shared" si="15"/>
        <v>#DIV/0!</v>
      </c>
      <c r="R70" s="95" t="e">
        <f t="shared" si="15"/>
        <v>#DIV/0!</v>
      </c>
      <c r="S70" s="95" t="e">
        <f t="shared" si="15"/>
        <v>#DIV/0!</v>
      </c>
      <c r="T70" s="95" t="e">
        <f t="shared" si="15"/>
        <v>#DIV/0!</v>
      </c>
      <c r="U70" s="95" t="e">
        <f t="shared" si="15"/>
        <v>#DIV/0!</v>
      </c>
      <c r="V70" s="95" t="e">
        <f t="shared" si="15"/>
        <v>#DIV/0!</v>
      </c>
      <c r="X70" s="16"/>
    </row>
    <row r="71" spans="4:24" ht="12.75">
      <c r="D71" s="45" t="s">
        <v>106</v>
      </c>
      <c r="G71" s="52"/>
      <c r="H71" s="52"/>
      <c r="I71" s="52"/>
      <c r="J71" s="52"/>
      <c r="K71" s="95">
        <f>K66/K$8</f>
        <v>2.5</v>
      </c>
      <c r="L71" s="95" t="e">
        <f aca="true" t="shared" si="16" ref="L71:V71">L66/L$8</f>
        <v>#DIV/0!</v>
      </c>
      <c r="M71" s="95" t="e">
        <f t="shared" si="16"/>
        <v>#DIV/0!</v>
      </c>
      <c r="N71" s="95" t="e">
        <f t="shared" si="16"/>
        <v>#DIV/0!</v>
      </c>
      <c r="O71" s="95" t="e">
        <f t="shared" si="16"/>
        <v>#DIV/0!</v>
      </c>
      <c r="P71" s="95" t="e">
        <f t="shared" si="16"/>
        <v>#DIV/0!</v>
      </c>
      <c r="Q71" s="95" t="e">
        <f t="shared" si="16"/>
        <v>#DIV/0!</v>
      </c>
      <c r="R71" s="95" t="e">
        <f t="shared" si="16"/>
        <v>#DIV/0!</v>
      </c>
      <c r="S71" s="95" t="e">
        <f t="shared" si="16"/>
        <v>#DIV/0!</v>
      </c>
      <c r="T71" s="95" t="e">
        <f t="shared" si="16"/>
        <v>#DIV/0!</v>
      </c>
      <c r="U71" s="95" t="e">
        <f t="shared" si="16"/>
        <v>#DIV/0!</v>
      </c>
      <c r="V71" s="95" t="e">
        <f t="shared" si="16"/>
        <v>#DIV/0!</v>
      </c>
      <c r="X71" s="16"/>
    </row>
    <row r="72" spans="4:24" ht="12.75">
      <c r="D72" s="45" t="s">
        <v>107</v>
      </c>
      <c r="G72" s="52"/>
      <c r="H72" s="52"/>
      <c r="I72" s="52"/>
      <c r="J72" s="52"/>
      <c r="K72" s="95">
        <f>K67/K$8</f>
        <v>5</v>
      </c>
      <c r="L72" s="95" t="e">
        <f aca="true" t="shared" si="17" ref="L72:V72">L67/L$8</f>
        <v>#DIV/0!</v>
      </c>
      <c r="M72" s="95" t="e">
        <f t="shared" si="17"/>
        <v>#DIV/0!</v>
      </c>
      <c r="N72" s="95" t="e">
        <f t="shared" si="17"/>
        <v>#DIV/0!</v>
      </c>
      <c r="O72" s="95" t="e">
        <f t="shared" si="17"/>
        <v>#DIV/0!</v>
      </c>
      <c r="P72" s="95" t="e">
        <f t="shared" si="17"/>
        <v>#DIV/0!</v>
      </c>
      <c r="Q72" s="95" t="e">
        <f t="shared" si="17"/>
        <v>#DIV/0!</v>
      </c>
      <c r="R72" s="95" t="e">
        <f t="shared" si="17"/>
        <v>#DIV/0!</v>
      </c>
      <c r="S72" s="95" t="e">
        <f t="shared" si="17"/>
        <v>#DIV/0!</v>
      </c>
      <c r="T72" s="95" t="e">
        <f t="shared" si="17"/>
        <v>#DIV/0!</v>
      </c>
      <c r="U72" s="95" t="e">
        <f t="shared" si="17"/>
        <v>#DIV/0!</v>
      </c>
      <c r="V72" s="95" t="e">
        <f t="shared" si="17"/>
        <v>#DIV/0!</v>
      </c>
      <c r="X72" s="16"/>
    </row>
    <row r="73" spans="4:24" ht="13.5" thickBot="1">
      <c r="D73" s="45"/>
      <c r="G73" s="52"/>
      <c r="H73" s="52"/>
      <c r="I73" s="52"/>
      <c r="J73" s="52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X73" s="16"/>
    </row>
    <row r="74" spans="4:24" s="74" customFormat="1" ht="13.5" thickBot="1">
      <c r="D74" s="74" t="s">
        <v>113</v>
      </c>
      <c r="G74" s="114"/>
      <c r="H74" s="114"/>
      <c r="I74" s="114"/>
      <c r="J74" s="114"/>
      <c r="K74" s="92">
        <v>200</v>
      </c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4"/>
      <c r="X74" s="97"/>
    </row>
    <row r="75" spans="4:24" s="74" customFormat="1" ht="4.5" customHeight="1" thickBot="1">
      <c r="D75" s="98"/>
      <c r="G75" s="114"/>
      <c r="H75" s="114"/>
      <c r="I75" s="114"/>
      <c r="J75" s="114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X75" s="97"/>
    </row>
    <row r="76" spans="4:24" s="74" customFormat="1" ht="12.75">
      <c r="D76" s="98" t="s">
        <v>101</v>
      </c>
      <c r="G76" s="114"/>
      <c r="H76" s="114"/>
      <c r="I76" s="114"/>
      <c r="J76" s="114"/>
      <c r="K76" s="100">
        <v>250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2"/>
      <c r="X76" s="97"/>
    </row>
    <row r="77" spans="4:24" s="74" customFormat="1" ht="12.75">
      <c r="D77" s="98" t="s">
        <v>102</v>
      </c>
      <c r="G77" s="114"/>
      <c r="H77" s="114"/>
      <c r="I77" s="114"/>
      <c r="J77" s="114"/>
      <c r="K77" s="103">
        <v>500</v>
      </c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5"/>
      <c r="X77" s="97"/>
    </row>
    <row r="78" spans="4:24" s="74" customFormat="1" ht="13.5" thickBot="1">
      <c r="D78" s="98" t="s">
        <v>103</v>
      </c>
      <c r="G78" s="114"/>
      <c r="H78" s="114"/>
      <c r="I78" s="114"/>
      <c r="J78" s="114"/>
      <c r="K78" s="106">
        <v>1000</v>
      </c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8"/>
      <c r="X78" s="97"/>
    </row>
    <row r="79" spans="2:24" s="74" customFormat="1" ht="12.75">
      <c r="B79" s="74" t="s">
        <v>197</v>
      </c>
      <c r="D79" s="109" t="s">
        <v>104</v>
      </c>
      <c r="G79" s="114"/>
      <c r="H79" s="114"/>
      <c r="I79" s="114"/>
      <c r="J79" s="114"/>
      <c r="K79" s="99">
        <f>SUM(K76:K78)</f>
        <v>1750</v>
      </c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X79" s="97"/>
    </row>
    <row r="80" spans="4:24" ht="6" customHeight="1">
      <c r="D80" s="45"/>
      <c r="G80" s="52"/>
      <c r="H80" s="52"/>
      <c r="I80" s="52"/>
      <c r="J80" s="52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X80" s="16"/>
    </row>
    <row r="81" spans="4:24" ht="12.75">
      <c r="D81" s="45" t="s">
        <v>105</v>
      </c>
      <c r="G81" s="52"/>
      <c r="H81" s="52"/>
      <c r="I81" s="52"/>
      <c r="J81" s="52"/>
      <c r="K81" s="95">
        <f>K76/K$8</f>
        <v>1.25</v>
      </c>
      <c r="L81" s="95" t="e">
        <f aca="true" t="shared" si="18" ref="L81:V81">L76/L$8</f>
        <v>#DIV/0!</v>
      </c>
      <c r="M81" s="95" t="e">
        <f t="shared" si="18"/>
        <v>#DIV/0!</v>
      </c>
      <c r="N81" s="95" t="e">
        <f t="shared" si="18"/>
        <v>#DIV/0!</v>
      </c>
      <c r="O81" s="95" t="e">
        <f t="shared" si="18"/>
        <v>#DIV/0!</v>
      </c>
      <c r="P81" s="95" t="e">
        <f t="shared" si="18"/>
        <v>#DIV/0!</v>
      </c>
      <c r="Q81" s="95" t="e">
        <f t="shared" si="18"/>
        <v>#DIV/0!</v>
      </c>
      <c r="R81" s="95" t="e">
        <f t="shared" si="18"/>
        <v>#DIV/0!</v>
      </c>
      <c r="S81" s="95" t="e">
        <f t="shared" si="18"/>
        <v>#DIV/0!</v>
      </c>
      <c r="T81" s="95" t="e">
        <f t="shared" si="18"/>
        <v>#DIV/0!</v>
      </c>
      <c r="U81" s="95" t="e">
        <f t="shared" si="18"/>
        <v>#DIV/0!</v>
      </c>
      <c r="V81" s="95" t="e">
        <f t="shared" si="18"/>
        <v>#DIV/0!</v>
      </c>
      <c r="X81" s="16"/>
    </row>
    <row r="82" spans="4:24" ht="12.75">
      <c r="D82" s="45" t="s">
        <v>106</v>
      </c>
      <c r="G82" s="52"/>
      <c r="H82" s="52"/>
      <c r="I82" s="52"/>
      <c r="J82" s="52"/>
      <c r="K82" s="95">
        <f>K77/K$8</f>
        <v>2.5</v>
      </c>
      <c r="L82" s="95" t="e">
        <f aca="true" t="shared" si="19" ref="L82:V82">L77/L$8</f>
        <v>#DIV/0!</v>
      </c>
      <c r="M82" s="95" t="e">
        <f t="shared" si="19"/>
        <v>#DIV/0!</v>
      </c>
      <c r="N82" s="95" t="e">
        <f t="shared" si="19"/>
        <v>#DIV/0!</v>
      </c>
      <c r="O82" s="95" t="e">
        <f t="shared" si="19"/>
        <v>#DIV/0!</v>
      </c>
      <c r="P82" s="95" t="e">
        <f t="shared" si="19"/>
        <v>#DIV/0!</v>
      </c>
      <c r="Q82" s="95" t="e">
        <f t="shared" si="19"/>
        <v>#DIV/0!</v>
      </c>
      <c r="R82" s="95" t="e">
        <f t="shared" si="19"/>
        <v>#DIV/0!</v>
      </c>
      <c r="S82" s="95" t="e">
        <f t="shared" si="19"/>
        <v>#DIV/0!</v>
      </c>
      <c r="T82" s="95" t="e">
        <f t="shared" si="19"/>
        <v>#DIV/0!</v>
      </c>
      <c r="U82" s="95" t="e">
        <f t="shared" si="19"/>
        <v>#DIV/0!</v>
      </c>
      <c r="V82" s="95" t="e">
        <f t="shared" si="19"/>
        <v>#DIV/0!</v>
      </c>
      <c r="X82" s="16"/>
    </row>
    <row r="83" spans="4:24" ht="12.75">
      <c r="D83" s="45" t="s">
        <v>107</v>
      </c>
      <c r="G83" s="52"/>
      <c r="H83" s="52"/>
      <c r="I83" s="52"/>
      <c r="J83" s="52"/>
      <c r="K83" s="95">
        <f>K78/K$8</f>
        <v>5</v>
      </c>
      <c r="L83" s="95" t="e">
        <f aca="true" t="shared" si="20" ref="L83:V83">L78/L$8</f>
        <v>#DIV/0!</v>
      </c>
      <c r="M83" s="95" t="e">
        <f t="shared" si="20"/>
        <v>#DIV/0!</v>
      </c>
      <c r="N83" s="95" t="e">
        <f t="shared" si="20"/>
        <v>#DIV/0!</v>
      </c>
      <c r="O83" s="95" t="e">
        <f t="shared" si="20"/>
        <v>#DIV/0!</v>
      </c>
      <c r="P83" s="95" t="e">
        <f t="shared" si="20"/>
        <v>#DIV/0!</v>
      </c>
      <c r="Q83" s="95" t="e">
        <f t="shared" si="20"/>
        <v>#DIV/0!</v>
      </c>
      <c r="R83" s="95" t="e">
        <f t="shared" si="20"/>
        <v>#DIV/0!</v>
      </c>
      <c r="S83" s="95" t="e">
        <f t="shared" si="20"/>
        <v>#DIV/0!</v>
      </c>
      <c r="T83" s="95" t="e">
        <f t="shared" si="20"/>
        <v>#DIV/0!</v>
      </c>
      <c r="U83" s="95" t="e">
        <f t="shared" si="20"/>
        <v>#DIV/0!</v>
      </c>
      <c r="V83" s="95" t="e">
        <f t="shared" si="20"/>
        <v>#DIV/0!</v>
      </c>
      <c r="X83" s="16"/>
    </row>
    <row r="84" spans="4:24" ht="13.5" thickBot="1">
      <c r="D84" s="45"/>
      <c r="G84" s="52"/>
      <c r="H84" s="52"/>
      <c r="I84" s="52"/>
      <c r="J84" s="52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X84" s="16"/>
    </row>
    <row r="85" spans="4:24" s="74" customFormat="1" ht="13.5" thickBot="1">
      <c r="D85" s="74" t="s">
        <v>114</v>
      </c>
      <c r="G85" s="114"/>
      <c r="H85" s="114"/>
      <c r="I85" s="114"/>
      <c r="J85" s="114"/>
      <c r="K85" s="92">
        <v>200</v>
      </c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4"/>
      <c r="X85" s="97"/>
    </row>
    <row r="86" spans="4:24" s="74" customFormat="1" ht="4.5" customHeight="1" thickBot="1">
      <c r="D86" s="98"/>
      <c r="G86" s="114"/>
      <c r="H86" s="114"/>
      <c r="I86" s="114"/>
      <c r="J86" s="114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X86" s="97"/>
    </row>
    <row r="87" spans="4:24" s="74" customFormat="1" ht="12.75">
      <c r="D87" s="98" t="s">
        <v>101</v>
      </c>
      <c r="G87" s="114"/>
      <c r="H87" s="114"/>
      <c r="I87" s="114"/>
      <c r="J87" s="114"/>
      <c r="K87" s="100">
        <v>250</v>
      </c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2"/>
      <c r="X87" s="97"/>
    </row>
    <row r="88" spans="4:24" s="74" customFormat="1" ht="12.75">
      <c r="D88" s="98" t="s">
        <v>102</v>
      </c>
      <c r="G88" s="114"/>
      <c r="H88" s="114"/>
      <c r="I88" s="114"/>
      <c r="J88" s="114"/>
      <c r="K88" s="103">
        <v>500</v>
      </c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5"/>
      <c r="X88" s="97"/>
    </row>
    <row r="89" spans="4:24" s="74" customFormat="1" ht="13.5" thickBot="1">
      <c r="D89" s="98" t="s">
        <v>103</v>
      </c>
      <c r="G89" s="114"/>
      <c r="H89" s="114"/>
      <c r="I89" s="114"/>
      <c r="J89" s="114"/>
      <c r="K89" s="106">
        <v>1000</v>
      </c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8"/>
      <c r="X89" s="97"/>
    </row>
    <row r="90" spans="2:24" s="74" customFormat="1" ht="12.75">
      <c r="B90" s="74" t="s">
        <v>198</v>
      </c>
      <c r="D90" s="109" t="s">
        <v>104</v>
      </c>
      <c r="G90" s="114"/>
      <c r="H90" s="114"/>
      <c r="I90" s="114"/>
      <c r="J90" s="114"/>
      <c r="K90" s="99">
        <f>SUM(K87:K89)</f>
        <v>1750</v>
      </c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X90" s="97"/>
    </row>
    <row r="91" spans="4:24" ht="6" customHeight="1">
      <c r="D91" s="45"/>
      <c r="G91" s="52"/>
      <c r="H91" s="52"/>
      <c r="I91" s="52"/>
      <c r="J91" s="52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X91" s="16"/>
    </row>
    <row r="92" spans="4:24" ht="12.75">
      <c r="D92" s="45" t="s">
        <v>105</v>
      </c>
      <c r="G92" s="52"/>
      <c r="H92" s="52"/>
      <c r="I92" s="52"/>
      <c r="J92" s="52"/>
      <c r="K92" s="95">
        <f>K87/K$8</f>
        <v>1.25</v>
      </c>
      <c r="L92" s="95" t="e">
        <f aca="true" t="shared" si="21" ref="L92:V92">L87/L$8</f>
        <v>#DIV/0!</v>
      </c>
      <c r="M92" s="95" t="e">
        <f t="shared" si="21"/>
        <v>#DIV/0!</v>
      </c>
      <c r="N92" s="95" t="e">
        <f t="shared" si="21"/>
        <v>#DIV/0!</v>
      </c>
      <c r="O92" s="95" t="e">
        <f t="shared" si="21"/>
        <v>#DIV/0!</v>
      </c>
      <c r="P92" s="95" t="e">
        <f t="shared" si="21"/>
        <v>#DIV/0!</v>
      </c>
      <c r="Q92" s="95" t="e">
        <f t="shared" si="21"/>
        <v>#DIV/0!</v>
      </c>
      <c r="R92" s="95" t="e">
        <f t="shared" si="21"/>
        <v>#DIV/0!</v>
      </c>
      <c r="S92" s="95" t="e">
        <f t="shared" si="21"/>
        <v>#DIV/0!</v>
      </c>
      <c r="T92" s="95" t="e">
        <f t="shared" si="21"/>
        <v>#DIV/0!</v>
      </c>
      <c r="U92" s="95" t="e">
        <f t="shared" si="21"/>
        <v>#DIV/0!</v>
      </c>
      <c r="V92" s="95" t="e">
        <f t="shared" si="21"/>
        <v>#DIV/0!</v>
      </c>
      <c r="X92" s="16"/>
    </row>
    <row r="93" spans="4:24" ht="12.75">
      <c r="D93" s="45" t="s">
        <v>106</v>
      </c>
      <c r="G93" s="52"/>
      <c r="H93" s="52"/>
      <c r="I93" s="52"/>
      <c r="J93" s="52"/>
      <c r="K93" s="95">
        <f>K88/K$8</f>
        <v>2.5</v>
      </c>
      <c r="L93" s="95" t="e">
        <f aca="true" t="shared" si="22" ref="L93:V93">L88/L$8</f>
        <v>#DIV/0!</v>
      </c>
      <c r="M93" s="95" t="e">
        <f t="shared" si="22"/>
        <v>#DIV/0!</v>
      </c>
      <c r="N93" s="95" t="e">
        <f t="shared" si="22"/>
        <v>#DIV/0!</v>
      </c>
      <c r="O93" s="95" t="e">
        <f t="shared" si="22"/>
        <v>#DIV/0!</v>
      </c>
      <c r="P93" s="95" t="e">
        <f t="shared" si="22"/>
        <v>#DIV/0!</v>
      </c>
      <c r="Q93" s="95" t="e">
        <f t="shared" si="22"/>
        <v>#DIV/0!</v>
      </c>
      <c r="R93" s="95" t="e">
        <f t="shared" si="22"/>
        <v>#DIV/0!</v>
      </c>
      <c r="S93" s="95" t="e">
        <f t="shared" si="22"/>
        <v>#DIV/0!</v>
      </c>
      <c r="T93" s="95" t="e">
        <f t="shared" si="22"/>
        <v>#DIV/0!</v>
      </c>
      <c r="U93" s="95" t="e">
        <f t="shared" si="22"/>
        <v>#DIV/0!</v>
      </c>
      <c r="V93" s="95" t="e">
        <f t="shared" si="22"/>
        <v>#DIV/0!</v>
      </c>
      <c r="X93" s="16"/>
    </row>
    <row r="94" spans="4:24" ht="12.75">
      <c r="D94" s="45" t="s">
        <v>107</v>
      </c>
      <c r="G94" s="52"/>
      <c r="H94" s="52"/>
      <c r="I94" s="52"/>
      <c r="J94" s="52"/>
      <c r="K94" s="95">
        <f>K89/K$8</f>
        <v>5</v>
      </c>
      <c r="L94" s="95" t="e">
        <f aca="true" t="shared" si="23" ref="L94:V94">L89/L$8</f>
        <v>#DIV/0!</v>
      </c>
      <c r="M94" s="95" t="e">
        <f t="shared" si="23"/>
        <v>#DIV/0!</v>
      </c>
      <c r="N94" s="95" t="e">
        <f t="shared" si="23"/>
        <v>#DIV/0!</v>
      </c>
      <c r="O94" s="95" t="e">
        <f t="shared" si="23"/>
        <v>#DIV/0!</v>
      </c>
      <c r="P94" s="95" t="e">
        <f t="shared" si="23"/>
        <v>#DIV/0!</v>
      </c>
      <c r="Q94" s="95" t="e">
        <f t="shared" si="23"/>
        <v>#DIV/0!</v>
      </c>
      <c r="R94" s="95" t="e">
        <f t="shared" si="23"/>
        <v>#DIV/0!</v>
      </c>
      <c r="S94" s="95" t="e">
        <f t="shared" si="23"/>
        <v>#DIV/0!</v>
      </c>
      <c r="T94" s="95" t="e">
        <f t="shared" si="23"/>
        <v>#DIV/0!</v>
      </c>
      <c r="U94" s="95" t="e">
        <f t="shared" si="23"/>
        <v>#DIV/0!</v>
      </c>
      <c r="V94" s="95" t="e">
        <f t="shared" si="23"/>
        <v>#DIV/0!</v>
      </c>
      <c r="X94" s="16"/>
    </row>
    <row r="95" spans="4:24" ht="13.5" thickBot="1">
      <c r="D95" s="45"/>
      <c r="G95" s="52"/>
      <c r="H95" s="52"/>
      <c r="I95" s="52"/>
      <c r="J95" s="52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X95" s="16"/>
    </row>
    <row r="96" spans="4:24" s="74" customFormat="1" ht="13.5" thickBot="1">
      <c r="D96" s="74" t="s">
        <v>115</v>
      </c>
      <c r="G96" s="114"/>
      <c r="H96" s="114"/>
      <c r="I96" s="114"/>
      <c r="J96" s="114"/>
      <c r="K96" s="92">
        <v>200</v>
      </c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4"/>
      <c r="X96" s="97"/>
    </row>
    <row r="97" spans="4:24" s="74" customFormat="1" ht="4.5" customHeight="1" thickBot="1">
      <c r="D97" s="98"/>
      <c r="G97" s="114"/>
      <c r="H97" s="114"/>
      <c r="I97" s="114"/>
      <c r="J97" s="114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X97" s="97"/>
    </row>
    <row r="98" spans="4:24" s="74" customFormat="1" ht="12.75">
      <c r="D98" s="98" t="s">
        <v>101</v>
      </c>
      <c r="G98" s="114"/>
      <c r="H98" s="114"/>
      <c r="I98" s="114"/>
      <c r="J98" s="114"/>
      <c r="K98" s="100">
        <v>250</v>
      </c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2"/>
      <c r="X98" s="97"/>
    </row>
    <row r="99" spans="4:24" s="74" customFormat="1" ht="12.75">
      <c r="D99" s="98" t="s">
        <v>102</v>
      </c>
      <c r="G99" s="114"/>
      <c r="H99" s="114"/>
      <c r="I99" s="114"/>
      <c r="J99" s="114"/>
      <c r="K99" s="103">
        <v>500</v>
      </c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5"/>
      <c r="X99" s="97"/>
    </row>
    <row r="100" spans="4:24" s="74" customFormat="1" ht="13.5" thickBot="1">
      <c r="D100" s="98" t="s">
        <v>103</v>
      </c>
      <c r="G100" s="114"/>
      <c r="H100" s="114"/>
      <c r="I100" s="114"/>
      <c r="J100" s="114"/>
      <c r="K100" s="106">
        <v>1000</v>
      </c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8"/>
      <c r="X100" s="97"/>
    </row>
    <row r="101" spans="2:24" s="74" customFormat="1" ht="12.75">
      <c r="B101" s="74" t="s">
        <v>199</v>
      </c>
      <c r="D101" s="109" t="s">
        <v>104</v>
      </c>
      <c r="G101" s="114"/>
      <c r="H101" s="114"/>
      <c r="I101" s="114"/>
      <c r="J101" s="114"/>
      <c r="K101" s="99">
        <f>SUM(K98:K100)</f>
        <v>1750</v>
      </c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X101" s="97"/>
    </row>
    <row r="102" spans="4:24" ht="6" customHeight="1">
      <c r="D102" s="45"/>
      <c r="G102" s="52"/>
      <c r="H102" s="52"/>
      <c r="I102" s="52"/>
      <c r="J102" s="52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X102" s="16"/>
    </row>
    <row r="103" spans="4:24" ht="12.75">
      <c r="D103" s="45" t="s">
        <v>105</v>
      </c>
      <c r="G103" s="52"/>
      <c r="H103" s="52"/>
      <c r="I103" s="52"/>
      <c r="J103" s="52"/>
      <c r="K103" s="95">
        <f>K98/K$8</f>
        <v>1.25</v>
      </c>
      <c r="L103" s="95" t="e">
        <f aca="true" t="shared" si="24" ref="L103:V103">L98/L$8</f>
        <v>#DIV/0!</v>
      </c>
      <c r="M103" s="95" t="e">
        <f t="shared" si="24"/>
        <v>#DIV/0!</v>
      </c>
      <c r="N103" s="95" t="e">
        <f t="shared" si="24"/>
        <v>#DIV/0!</v>
      </c>
      <c r="O103" s="95" t="e">
        <f t="shared" si="24"/>
        <v>#DIV/0!</v>
      </c>
      <c r="P103" s="95" t="e">
        <f t="shared" si="24"/>
        <v>#DIV/0!</v>
      </c>
      <c r="Q103" s="95" t="e">
        <f t="shared" si="24"/>
        <v>#DIV/0!</v>
      </c>
      <c r="R103" s="95" t="e">
        <f t="shared" si="24"/>
        <v>#DIV/0!</v>
      </c>
      <c r="S103" s="95" t="e">
        <f t="shared" si="24"/>
        <v>#DIV/0!</v>
      </c>
      <c r="T103" s="95" t="e">
        <f t="shared" si="24"/>
        <v>#DIV/0!</v>
      </c>
      <c r="U103" s="95" t="e">
        <f t="shared" si="24"/>
        <v>#DIV/0!</v>
      </c>
      <c r="V103" s="95" t="e">
        <f t="shared" si="24"/>
        <v>#DIV/0!</v>
      </c>
      <c r="X103" s="16"/>
    </row>
    <row r="104" spans="4:24" ht="12.75">
      <c r="D104" s="45" t="s">
        <v>106</v>
      </c>
      <c r="G104" s="52"/>
      <c r="H104" s="52"/>
      <c r="I104" s="52"/>
      <c r="J104" s="52"/>
      <c r="K104" s="95">
        <f>K99/K$8</f>
        <v>2.5</v>
      </c>
      <c r="L104" s="95" t="e">
        <f aca="true" t="shared" si="25" ref="L104:V104">L99/L$8</f>
        <v>#DIV/0!</v>
      </c>
      <c r="M104" s="95" t="e">
        <f t="shared" si="25"/>
        <v>#DIV/0!</v>
      </c>
      <c r="N104" s="95" t="e">
        <f t="shared" si="25"/>
        <v>#DIV/0!</v>
      </c>
      <c r="O104" s="95" t="e">
        <f t="shared" si="25"/>
        <v>#DIV/0!</v>
      </c>
      <c r="P104" s="95" t="e">
        <f t="shared" si="25"/>
        <v>#DIV/0!</v>
      </c>
      <c r="Q104" s="95" t="e">
        <f t="shared" si="25"/>
        <v>#DIV/0!</v>
      </c>
      <c r="R104" s="95" t="e">
        <f t="shared" si="25"/>
        <v>#DIV/0!</v>
      </c>
      <c r="S104" s="95" t="e">
        <f t="shared" si="25"/>
        <v>#DIV/0!</v>
      </c>
      <c r="T104" s="95" t="e">
        <f t="shared" si="25"/>
        <v>#DIV/0!</v>
      </c>
      <c r="U104" s="95" t="e">
        <f t="shared" si="25"/>
        <v>#DIV/0!</v>
      </c>
      <c r="V104" s="95" t="e">
        <f t="shared" si="25"/>
        <v>#DIV/0!</v>
      </c>
      <c r="X104" s="16"/>
    </row>
    <row r="105" spans="4:24" ht="12.75">
      <c r="D105" s="45" t="s">
        <v>107</v>
      </c>
      <c r="G105" s="52"/>
      <c r="H105" s="52"/>
      <c r="I105" s="52"/>
      <c r="J105" s="52"/>
      <c r="K105" s="95">
        <f>K100/K$8</f>
        <v>5</v>
      </c>
      <c r="L105" s="95" t="e">
        <f aca="true" t="shared" si="26" ref="L105:V105">L100/L$8</f>
        <v>#DIV/0!</v>
      </c>
      <c r="M105" s="95" t="e">
        <f t="shared" si="26"/>
        <v>#DIV/0!</v>
      </c>
      <c r="N105" s="95" t="e">
        <f t="shared" si="26"/>
        <v>#DIV/0!</v>
      </c>
      <c r="O105" s="95" t="e">
        <f t="shared" si="26"/>
        <v>#DIV/0!</v>
      </c>
      <c r="P105" s="95" t="e">
        <f t="shared" si="26"/>
        <v>#DIV/0!</v>
      </c>
      <c r="Q105" s="95" t="e">
        <f t="shared" si="26"/>
        <v>#DIV/0!</v>
      </c>
      <c r="R105" s="95" t="e">
        <f t="shared" si="26"/>
        <v>#DIV/0!</v>
      </c>
      <c r="S105" s="95" t="e">
        <f t="shared" si="26"/>
        <v>#DIV/0!</v>
      </c>
      <c r="T105" s="95" t="e">
        <f t="shared" si="26"/>
        <v>#DIV/0!</v>
      </c>
      <c r="U105" s="95" t="e">
        <f t="shared" si="26"/>
        <v>#DIV/0!</v>
      </c>
      <c r="V105" s="95" t="e">
        <f t="shared" si="26"/>
        <v>#DIV/0!</v>
      </c>
      <c r="X105" s="16"/>
    </row>
    <row r="106" spans="4:24" ht="13.5" thickBot="1">
      <c r="D106" s="45"/>
      <c r="G106" s="52"/>
      <c r="H106" s="52"/>
      <c r="I106" s="52"/>
      <c r="J106" s="52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X106" s="16"/>
    </row>
    <row r="107" spans="4:24" s="74" customFormat="1" ht="13.5" thickBot="1">
      <c r="D107" s="74" t="s">
        <v>116</v>
      </c>
      <c r="G107" s="114"/>
      <c r="H107" s="114"/>
      <c r="I107" s="114"/>
      <c r="J107" s="114"/>
      <c r="K107" s="92">
        <v>200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4"/>
      <c r="X107" s="97"/>
    </row>
    <row r="108" spans="4:24" s="74" customFormat="1" ht="4.5" customHeight="1" thickBot="1">
      <c r="D108" s="98"/>
      <c r="G108" s="114"/>
      <c r="H108" s="114"/>
      <c r="I108" s="114"/>
      <c r="J108" s="114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X108" s="97"/>
    </row>
    <row r="109" spans="4:24" s="74" customFormat="1" ht="12.75">
      <c r="D109" s="98" t="s">
        <v>101</v>
      </c>
      <c r="G109" s="114"/>
      <c r="H109" s="114"/>
      <c r="I109" s="114"/>
      <c r="J109" s="114"/>
      <c r="K109" s="100">
        <v>250</v>
      </c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2"/>
      <c r="X109" s="97"/>
    </row>
    <row r="110" spans="4:24" s="74" customFormat="1" ht="12.75">
      <c r="D110" s="98" t="s">
        <v>102</v>
      </c>
      <c r="G110" s="114"/>
      <c r="H110" s="114"/>
      <c r="I110" s="114"/>
      <c r="J110" s="114"/>
      <c r="K110" s="103">
        <v>500</v>
      </c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5"/>
      <c r="X110" s="97"/>
    </row>
    <row r="111" spans="4:24" s="74" customFormat="1" ht="13.5" thickBot="1">
      <c r="D111" s="98" t="s">
        <v>103</v>
      </c>
      <c r="G111" s="114"/>
      <c r="H111" s="114"/>
      <c r="I111" s="114"/>
      <c r="J111" s="114"/>
      <c r="K111" s="106">
        <v>1000</v>
      </c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8"/>
      <c r="X111" s="97"/>
    </row>
    <row r="112" spans="2:24" s="74" customFormat="1" ht="12.75">
      <c r="B112" s="10" t="s">
        <v>200</v>
      </c>
      <c r="D112" s="109" t="s">
        <v>104</v>
      </c>
      <c r="G112" s="114"/>
      <c r="H112" s="114"/>
      <c r="I112" s="114"/>
      <c r="J112" s="114"/>
      <c r="K112" s="99">
        <f>SUM(K109:K111)</f>
        <v>1750</v>
      </c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X112" s="97"/>
    </row>
    <row r="113" spans="4:24" ht="6" customHeight="1">
      <c r="D113" s="45"/>
      <c r="G113" s="52"/>
      <c r="H113" s="52"/>
      <c r="I113" s="52"/>
      <c r="J113" s="52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X113" s="16"/>
    </row>
    <row r="114" spans="4:24" ht="12.75">
      <c r="D114" s="45" t="s">
        <v>105</v>
      </c>
      <c r="G114" s="52"/>
      <c r="H114" s="52"/>
      <c r="I114" s="52"/>
      <c r="J114" s="52"/>
      <c r="K114" s="95">
        <f>K109/K$8</f>
        <v>1.25</v>
      </c>
      <c r="L114" s="95" t="e">
        <f aca="true" t="shared" si="27" ref="L114:V114">L109/L$8</f>
        <v>#DIV/0!</v>
      </c>
      <c r="M114" s="95" t="e">
        <f t="shared" si="27"/>
        <v>#DIV/0!</v>
      </c>
      <c r="N114" s="95" t="e">
        <f t="shared" si="27"/>
        <v>#DIV/0!</v>
      </c>
      <c r="O114" s="95" t="e">
        <f t="shared" si="27"/>
        <v>#DIV/0!</v>
      </c>
      <c r="P114" s="95" t="e">
        <f t="shared" si="27"/>
        <v>#DIV/0!</v>
      </c>
      <c r="Q114" s="95" t="e">
        <f t="shared" si="27"/>
        <v>#DIV/0!</v>
      </c>
      <c r="R114" s="95" t="e">
        <f t="shared" si="27"/>
        <v>#DIV/0!</v>
      </c>
      <c r="S114" s="95" t="e">
        <f t="shared" si="27"/>
        <v>#DIV/0!</v>
      </c>
      <c r="T114" s="95" t="e">
        <f t="shared" si="27"/>
        <v>#DIV/0!</v>
      </c>
      <c r="U114" s="95" t="e">
        <f t="shared" si="27"/>
        <v>#DIV/0!</v>
      </c>
      <c r="V114" s="95" t="e">
        <f t="shared" si="27"/>
        <v>#DIV/0!</v>
      </c>
      <c r="X114" s="16"/>
    </row>
    <row r="115" spans="4:24" ht="12.75">
      <c r="D115" s="45" t="s">
        <v>106</v>
      </c>
      <c r="G115" s="52"/>
      <c r="H115" s="52"/>
      <c r="I115" s="52"/>
      <c r="J115" s="52"/>
      <c r="K115" s="95">
        <f>K110/K$8</f>
        <v>2.5</v>
      </c>
      <c r="L115" s="95" t="e">
        <f aca="true" t="shared" si="28" ref="L115:V115">L110/L$8</f>
        <v>#DIV/0!</v>
      </c>
      <c r="M115" s="95" t="e">
        <f t="shared" si="28"/>
        <v>#DIV/0!</v>
      </c>
      <c r="N115" s="95" t="e">
        <f t="shared" si="28"/>
        <v>#DIV/0!</v>
      </c>
      <c r="O115" s="95" t="e">
        <f t="shared" si="28"/>
        <v>#DIV/0!</v>
      </c>
      <c r="P115" s="95" t="e">
        <f t="shared" si="28"/>
        <v>#DIV/0!</v>
      </c>
      <c r="Q115" s="95" t="e">
        <f t="shared" si="28"/>
        <v>#DIV/0!</v>
      </c>
      <c r="R115" s="95" t="e">
        <f t="shared" si="28"/>
        <v>#DIV/0!</v>
      </c>
      <c r="S115" s="95" t="e">
        <f t="shared" si="28"/>
        <v>#DIV/0!</v>
      </c>
      <c r="T115" s="95" t="e">
        <f t="shared" si="28"/>
        <v>#DIV/0!</v>
      </c>
      <c r="U115" s="95" t="e">
        <f t="shared" si="28"/>
        <v>#DIV/0!</v>
      </c>
      <c r="V115" s="95" t="e">
        <f t="shared" si="28"/>
        <v>#DIV/0!</v>
      </c>
      <c r="X115" s="16"/>
    </row>
    <row r="116" spans="4:24" ht="12.75">
      <c r="D116" s="45" t="s">
        <v>107</v>
      </c>
      <c r="G116" s="52"/>
      <c r="H116" s="52"/>
      <c r="I116" s="52"/>
      <c r="J116" s="52"/>
      <c r="K116" s="95">
        <f>K111/K$8</f>
        <v>5</v>
      </c>
      <c r="L116" s="95" t="e">
        <f aca="true" t="shared" si="29" ref="L116:V116">L111/L$8</f>
        <v>#DIV/0!</v>
      </c>
      <c r="M116" s="95" t="e">
        <f t="shared" si="29"/>
        <v>#DIV/0!</v>
      </c>
      <c r="N116" s="95" t="e">
        <f t="shared" si="29"/>
        <v>#DIV/0!</v>
      </c>
      <c r="O116" s="95" t="e">
        <f t="shared" si="29"/>
        <v>#DIV/0!</v>
      </c>
      <c r="P116" s="95" t="e">
        <f t="shared" si="29"/>
        <v>#DIV/0!</v>
      </c>
      <c r="Q116" s="95" t="e">
        <f t="shared" si="29"/>
        <v>#DIV/0!</v>
      </c>
      <c r="R116" s="95" t="e">
        <f t="shared" si="29"/>
        <v>#DIV/0!</v>
      </c>
      <c r="S116" s="95" t="e">
        <f t="shared" si="29"/>
        <v>#DIV/0!</v>
      </c>
      <c r="T116" s="95" t="e">
        <f t="shared" si="29"/>
        <v>#DIV/0!</v>
      </c>
      <c r="U116" s="95" t="e">
        <f t="shared" si="29"/>
        <v>#DIV/0!</v>
      </c>
      <c r="V116" s="95" t="e">
        <f t="shared" si="29"/>
        <v>#DIV/0!</v>
      </c>
      <c r="X116" s="16"/>
    </row>
    <row r="117" spans="4:24" ht="12.75">
      <c r="D117" s="45"/>
      <c r="G117" s="52"/>
      <c r="H117" s="52"/>
      <c r="I117" s="52"/>
      <c r="J117" s="52"/>
      <c r="K117" s="95"/>
      <c r="L117" s="96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X117" s="16"/>
    </row>
    <row r="118" spans="4:24" ht="12.75">
      <c r="D118" s="45" t="s">
        <v>118</v>
      </c>
      <c r="G118" s="52"/>
      <c r="H118" s="52"/>
      <c r="I118" s="52"/>
      <c r="J118" s="52"/>
      <c r="X118" s="16"/>
    </row>
    <row r="119" spans="4:24" ht="12.75">
      <c r="D119" s="45" t="s">
        <v>105</v>
      </c>
      <c r="G119" s="52"/>
      <c r="H119" s="52"/>
      <c r="I119" s="52"/>
      <c r="J119" s="52"/>
      <c r="K119" s="67">
        <f>SUM(K109,K98,K87,K76,K65,K54,K43,K32,K21,K10)/SUM(K$8,K$19,K$30,K$41,K$52,K$63,K$74,K$85,K$96,K$107)</f>
        <v>1.25</v>
      </c>
      <c r="L119" s="67" t="e">
        <f aca="true" t="shared" si="30" ref="L119:V119">SUM(L109,L98,L87,L76,L65,L54,L43,L32,L21,L10)/SUM(L$8,L$19,L$30,L$41,L$52,L$63,L$74,L$85,L$96,L$107)</f>
        <v>#DIV/0!</v>
      </c>
      <c r="M119" s="67" t="e">
        <f t="shared" si="30"/>
        <v>#DIV/0!</v>
      </c>
      <c r="N119" s="67" t="e">
        <f t="shared" si="30"/>
        <v>#DIV/0!</v>
      </c>
      <c r="O119" s="67" t="e">
        <f t="shared" si="30"/>
        <v>#DIV/0!</v>
      </c>
      <c r="P119" s="67" t="e">
        <f t="shared" si="30"/>
        <v>#DIV/0!</v>
      </c>
      <c r="Q119" s="67" t="e">
        <f t="shared" si="30"/>
        <v>#DIV/0!</v>
      </c>
      <c r="R119" s="67" t="e">
        <f t="shared" si="30"/>
        <v>#DIV/0!</v>
      </c>
      <c r="S119" s="67" t="e">
        <f t="shared" si="30"/>
        <v>#DIV/0!</v>
      </c>
      <c r="T119" s="67" t="e">
        <f t="shared" si="30"/>
        <v>#DIV/0!</v>
      </c>
      <c r="U119" s="67" t="e">
        <f t="shared" si="30"/>
        <v>#DIV/0!</v>
      </c>
      <c r="V119" s="67" t="e">
        <f t="shared" si="30"/>
        <v>#DIV/0!</v>
      </c>
      <c r="X119" s="16"/>
    </row>
    <row r="120" spans="4:24" ht="12.75">
      <c r="D120" s="45" t="s">
        <v>106</v>
      </c>
      <c r="G120" s="52"/>
      <c r="H120" s="52"/>
      <c r="I120" s="52"/>
      <c r="J120" s="52"/>
      <c r="K120" s="67">
        <f>SUM(K110,K99,K88,K77,K66,K55,K44,K33,K22,K11)/SUM(K$8,K$19,K$30,K$41,K$52,K$63,K$74,K$85,K$96,K$107)</f>
        <v>2.5</v>
      </c>
      <c r="L120" s="67" t="e">
        <f aca="true" t="shared" si="31" ref="L120:V120">SUM(L110,L99,L88,L77,L66,L55,L44,L33,L22,L11)/SUM(L$8,L$19,L$30,L$41,L$52,L$63,L$74,L$85,L$96,L$107)</f>
        <v>#DIV/0!</v>
      </c>
      <c r="M120" s="67" t="e">
        <f t="shared" si="31"/>
        <v>#DIV/0!</v>
      </c>
      <c r="N120" s="67" t="e">
        <f t="shared" si="31"/>
        <v>#DIV/0!</v>
      </c>
      <c r="O120" s="67" t="e">
        <f t="shared" si="31"/>
        <v>#DIV/0!</v>
      </c>
      <c r="P120" s="67" t="e">
        <f t="shared" si="31"/>
        <v>#DIV/0!</v>
      </c>
      <c r="Q120" s="67" t="e">
        <f t="shared" si="31"/>
        <v>#DIV/0!</v>
      </c>
      <c r="R120" s="67" t="e">
        <f t="shared" si="31"/>
        <v>#DIV/0!</v>
      </c>
      <c r="S120" s="67" t="e">
        <f t="shared" si="31"/>
        <v>#DIV/0!</v>
      </c>
      <c r="T120" s="67" t="e">
        <f t="shared" si="31"/>
        <v>#DIV/0!</v>
      </c>
      <c r="U120" s="67" t="e">
        <f t="shared" si="31"/>
        <v>#DIV/0!</v>
      </c>
      <c r="V120" s="67" t="e">
        <f t="shared" si="31"/>
        <v>#DIV/0!</v>
      </c>
      <c r="X120" s="16"/>
    </row>
    <row r="121" spans="4:24" ht="12.75">
      <c r="D121" s="45" t="s">
        <v>107</v>
      </c>
      <c r="G121" s="52"/>
      <c r="H121" s="52"/>
      <c r="I121" s="52"/>
      <c r="J121" s="52"/>
      <c r="K121" s="67">
        <f>SUM(K111,K100,K89,K78,K67,K56,K45,K34,K23,K12)/SUM(K$8,K$19,K$30,K$41,K$52,K$63,K$74,K$85,K$96,K$107)</f>
        <v>5</v>
      </c>
      <c r="L121" s="67" t="e">
        <f aca="true" t="shared" si="32" ref="L121:V121">SUM(L111,L100,L89,L78,L67,L56,L45,L34,L23,L12)/SUM(L$8,L$19,L$30,L$41,L$52,L$63,L$74,L$85,L$96,L$107)</f>
        <v>#DIV/0!</v>
      </c>
      <c r="M121" s="67" t="e">
        <f t="shared" si="32"/>
        <v>#DIV/0!</v>
      </c>
      <c r="N121" s="67" t="e">
        <f t="shared" si="32"/>
        <v>#DIV/0!</v>
      </c>
      <c r="O121" s="67" t="e">
        <f t="shared" si="32"/>
        <v>#DIV/0!</v>
      </c>
      <c r="P121" s="67" t="e">
        <f t="shared" si="32"/>
        <v>#DIV/0!</v>
      </c>
      <c r="Q121" s="67" t="e">
        <f t="shared" si="32"/>
        <v>#DIV/0!</v>
      </c>
      <c r="R121" s="67" t="e">
        <f t="shared" si="32"/>
        <v>#DIV/0!</v>
      </c>
      <c r="S121" s="67" t="e">
        <f t="shared" si="32"/>
        <v>#DIV/0!</v>
      </c>
      <c r="T121" s="67" t="e">
        <f t="shared" si="32"/>
        <v>#DIV/0!</v>
      </c>
      <c r="U121" s="67" t="e">
        <f t="shared" si="32"/>
        <v>#DIV/0!</v>
      </c>
      <c r="V121" s="67" t="e">
        <f t="shared" si="32"/>
        <v>#DIV/0!</v>
      </c>
      <c r="X121" s="16"/>
    </row>
    <row r="122" spans="4:24" ht="12.75">
      <c r="D122" s="45"/>
      <c r="G122" s="52"/>
      <c r="H122" s="52"/>
      <c r="I122" s="52"/>
      <c r="J122" s="52"/>
      <c r="X122" s="16"/>
    </row>
    <row r="123" spans="4:24" ht="12.75">
      <c r="D123" s="45"/>
      <c r="G123" s="52"/>
      <c r="H123" s="52"/>
      <c r="I123" s="52"/>
      <c r="J123" s="52"/>
      <c r="X123" s="16"/>
    </row>
    <row r="124" spans="4:24" ht="12.75">
      <c r="D124" s="45"/>
      <c r="G124" s="52"/>
      <c r="H124" s="52"/>
      <c r="I124" s="52"/>
      <c r="J124" s="52"/>
      <c r="X124" s="16"/>
    </row>
  </sheetData>
  <printOptions/>
  <pageMargins left="0.47" right="0.35" top="1" bottom="1" header="0.5" footer="0.5"/>
  <pageSetup fitToHeight="1" fitToWidth="1" horizontalDpi="600" verticalDpi="600" orientation="portrait" paperSize="8" scale="6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76"/>
  <sheetViews>
    <sheetView workbookViewId="0" topLeftCell="A1">
      <pane xSplit="5" ySplit="5" topLeftCell="F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" sqref="D2"/>
    </sheetView>
  </sheetViews>
  <sheetFormatPr defaultColWidth="9.140625" defaultRowHeight="12.75"/>
  <cols>
    <col min="1" max="1" width="3.28125" style="10" customWidth="1"/>
    <col min="2" max="2" width="11.8515625" style="10" customWidth="1"/>
    <col min="3" max="3" width="2.00390625" style="10" customWidth="1"/>
    <col min="4" max="4" width="52.7109375" style="45" customWidth="1"/>
    <col min="5" max="5" width="22.28125" style="10" customWidth="1"/>
    <col min="6" max="6" width="2.00390625" style="10" customWidth="1"/>
    <col min="7" max="7" width="15.28125" style="52" hidden="1" customWidth="1"/>
    <col min="8" max="8" width="11.140625" style="52" hidden="1" customWidth="1"/>
    <col min="9" max="10" width="11.57421875" style="52" hidden="1" customWidth="1"/>
    <col min="11" max="11" width="15.28125" style="10" bestFit="1" customWidth="1"/>
    <col min="12" max="13" width="15.00390625" style="10" bestFit="1" customWidth="1"/>
    <col min="14" max="18" width="17.57421875" style="10" bestFit="1" customWidth="1"/>
    <col min="19" max="19" width="17.28125" style="10" bestFit="1" customWidth="1"/>
    <col min="20" max="20" width="17.8515625" style="10" bestFit="1" customWidth="1"/>
    <col min="21" max="21" width="17.57421875" style="10" bestFit="1" customWidth="1"/>
    <col min="22" max="22" width="17.28125" style="10" bestFit="1" customWidth="1"/>
    <col min="23" max="23" width="3.8515625" style="10" customWidth="1"/>
    <col min="24" max="24" width="13.57421875" style="10" customWidth="1"/>
    <col min="25" max="25" width="4.7109375" style="10" bestFit="1" customWidth="1"/>
    <col min="26" max="26" width="9.140625" style="10" customWidth="1"/>
    <col min="27" max="27" width="14.421875" style="10" bestFit="1" customWidth="1"/>
    <col min="28" max="16384" width="9.140625" style="10" customWidth="1"/>
  </cols>
  <sheetData>
    <row r="2" spans="4:22" ht="18">
      <c r="D2" s="144" t="s">
        <v>204</v>
      </c>
      <c r="G2" s="115" t="s">
        <v>0</v>
      </c>
      <c r="H2" s="110" t="s">
        <v>0</v>
      </c>
      <c r="I2" s="115" t="s">
        <v>0</v>
      </c>
      <c r="J2" s="115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  <c r="Q2" s="9" t="s">
        <v>0</v>
      </c>
      <c r="R2" s="9" t="s">
        <v>0</v>
      </c>
      <c r="S2" s="9" t="s">
        <v>0</v>
      </c>
      <c r="T2" s="9" t="s">
        <v>0</v>
      </c>
      <c r="U2" s="9" t="s">
        <v>0</v>
      </c>
      <c r="V2" s="9" t="s">
        <v>0</v>
      </c>
    </row>
    <row r="3" spans="4:22" ht="18">
      <c r="D3" s="53" t="s">
        <v>144</v>
      </c>
      <c r="G3" s="115" t="s">
        <v>9</v>
      </c>
      <c r="H3" s="110" t="s">
        <v>10</v>
      </c>
      <c r="I3" s="115" t="s">
        <v>11</v>
      </c>
      <c r="J3" s="115" t="s">
        <v>12</v>
      </c>
      <c r="K3" s="9" t="s">
        <v>1</v>
      </c>
      <c r="L3" s="9" t="s">
        <v>2</v>
      </c>
      <c r="M3" s="9" t="s">
        <v>3</v>
      </c>
      <c r="N3" s="9" t="s">
        <v>4</v>
      </c>
      <c r="O3" s="9" t="s">
        <v>5</v>
      </c>
      <c r="P3" s="9" t="s">
        <v>6</v>
      </c>
      <c r="Q3" s="9" t="s">
        <v>7</v>
      </c>
      <c r="R3" s="9" t="s">
        <v>8</v>
      </c>
      <c r="S3" s="9" t="s">
        <v>9</v>
      </c>
      <c r="T3" s="9" t="s">
        <v>10</v>
      </c>
      <c r="U3" s="9" t="s">
        <v>11</v>
      </c>
      <c r="V3" s="9" t="s">
        <v>12</v>
      </c>
    </row>
    <row r="4" spans="7:22" ht="12.75">
      <c r="G4" s="115"/>
      <c r="H4" s="110"/>
      <c r="I4" s="115"/>
      <c r="J4" s="115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7:22" ht="12.75">
      <c r="G5" s="115"/>
      <c r="H5" s="110"/>
      <c r="I5" s="115"/>
      <c r="J5" s="115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4" ht="12.75">
      <c r="A6" s="76"/>
      <c r="B6" s="76"/>
      <c r="C6" s="76"/>
      <c r="D6" s="78"/>
      <c r="E6" s="76"/>
      <c r="F6" s="76"/>
      <c r="G6" s="116"/>
      <c r="I6" s="116"/>
      <c r="J6" s="116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79"/>
      <c r="X6" s="79"/>
    </row>
    <row r="7" spans="4:22" ht="12.75">
      <c r="D7" s="48" t="s">
        <v>150</v>
      </c>
      <c r="H7" s="69"/>
      <c r="I7" s="115"/>
      <c r="J7" s="115"/>
      <c r="K7" s="14">
        <f aca="true" t="shared" si="0" ref="K7:V7">IF(K23/K22&gt;1,1000000,0)</f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</row>
    <row r="8" spans="4:24" ht="13.5" thickBot="1">
      <c r="D8" s="151" t="s">
        <v>122</v>
      </c>
      <c r="K8" s="14">
        <f>IF(K41/$K40&gt;1,1000000,0)</f>
        <v>1000000</v>
      </c>
      <c r="L8" s="14">
        <f>IF(L41/$K40&gt;1,1000000,0)</f>
        <v>0</v>
      </c>
      <c r="M8" s="14">
        <f>IF(M41/$K40&gt;1,1000000,0)</f>
        <v>0</v>
      </c>
      <c r="N8" s="14" t="e">
        <f>IF(N41/$N40&gt;1,1000000,0)</f>
        <v>#DIV/0!</v>
      </c>
      <c r="O8" s="14" t="e">
        <f>IF(O41/$N40&gt;1,1000000,0)</f>
        <v>#DIV/0!</v>
      </c>
      <c r="P8" s="14" t="e">
        <f>IF(P41/$N40&gt;1,1000000,0)</f>
        <v>#DIV/0!</v>
      </c>
      <c r="Q8" s="14" t="e">
        <f>IF(Q41/$Q40&gt;1,1000000,0)</f>
        <v>#DIV/0!</v>
      </c>
      <c r="R8" s="14" t="e">
        <f>IF(R41/$Q40&gt;1,1000000,0)</f>
        <v>#DIV/0!</v>
      </c>
      <c r="S8" s="14" t="e">
        <f>IF(S41/$Q40&gt;1,1000000,0)</f>
        <v>#DIV/0!</v>
      </c>
      <c r="T8" s="14" t="e">
        <f>IF(T41/$T40&gt;1,1000000,0)</f>
        <v>#DIV/0!</v>
      </c>
      <c r="U8" s="14" t="e">
        <f>IF(U41/$T40&gt;1,1000000,0)</f>
        <v>#DIV/0!</v>
      </c>
      <c r="V8" s="14" t="e">
        <f>IF(V41/$T40&gt;1,1000000,0)</f>
        <v>#DIV/0!</v>
      </c>
      <c r="X8" s="16"/>
    </row>
    <row r="9" spans="1:22" ht="13.5" thickBot="1">
      <c r="A9" s="23" t="s">
        <v>16</v>
      </c>
      <c r="B9" s="8">
        <v>0.15</v>
      </c>
      <c r="C9" s="24"/>
      <c r="D9" s="48" t="s">
        <v>151</v>
      </c>
      <c r="G9" s="69" t="e">
        <f>IF(G37/(G26*$B9)&gt;1,1000000,0)</f>
        <v>#DIV/0!</v>
      </c>
      <c r="H9" s="69">
        <f>IF(H37/(H26*$B9)&gt;1,1000000,0)</f>
        <v>0</v>
      </c>
      <c r="I9" s="69" t="e">
        <f>IF(I37/(I26*$B9)&gt;1,1000000,0)</f>
        <v>#DIV/0!</v>
      </c>
      <c r="J9" s="69" t="e">
        <f>IF(J37/(J26*$B9)&gt;1,1000000,0)</f>
        <v>#DIV/0!</v>
      </c>
      <c r="K9" s="152">
        <f>IF(K37/(K26*$B9)&gt;1,1000000,0)</f>
        <v>0</v>
      </c>
      <c r="L9" s="152" t="e">
        <f>IF(L37/(L26*$B9)&gt;1,1000000,0)</f>
        <v>#DIV/0!</v>
      </c>
      <c r="M9" s="152" t="e">
        <f>IF(M37/(M26*$B9)&gt;1,1000000,0)</f>
        <v>#DIV/0!</v>
      </c>
      <c r="N9" s="152" t="e">
        <f>IF(N37/(N26*$B9)&gt;1,1000000,0)</f>
        <v>#DIV/0!</v>
      </c>
      <c r="O9" s="152" t="e">
        <f>IF(O37/(O26*$B9)&gt;1,1000000,0)</f>
        <v>#DIV/0!</v>
      </c>
      <c r="P9" s="152" t="e">
        <f>IF(P37/(P26*$B9)&gt;1,1000000,0)</f>
        <v>#DIV/0!</v>
      </c>
      <c r="Q9" s="152" t="e">
        <f>IF(Q37/(Q26*$B9)&gt;1,1000000,0)</f>
        <v>#DIV/0!</v>
      </c>
      <c r="R9" s="152" t="e">
        <f>IF(R37/(R26*$B9)&gt;1,1000000,0)</f>
        <v>#DIV/0!</v>
      </c>
      <c r="S9" s="152" t="e">
        <f>IF(S37/(S26*$B9)&gt;1,1000000,0)</f>
        <v>#DIV/0!</v>
      </c>
      <c r="T9" s="152" t="e">
        <f>IF(T37/(T26*$B9)&gt;1,1000000,0)</f>
        <v>#DIV/0!</v>
      </c>
      <c r="U9" s="152" t="e">
        <f>IF(U37/(U26*$B9)&gt;1,1000000,0)</f>
        <v>#DIV/0!</v>
      </c>
      <c r="V9" s="152" t="e">
        <f>IF(V37/(V26*$B9)&gt;1,1000000,0)</f>
        <v>#DIV/0!</v>
      </c>
    </row>
    <row r="10" spans="4:22" ht="12.75">
      <c r="D10" s="48" t="s">
        <v>121</v>
      </c>
      <c r="G10" s="69" t="e">
        <f>SUM(G30:G34)/G26*1000000</f>
        <v>#DIV/0!</v>
      </c>
      <c r="H10" s="69">
        <f>SUM(H30:H34)/H26*1000000</f>
        <v>695459.0325765054</v>
      </c>
      <c r="I10" s="69" t="e">
        <f>SUM(I30:I34)/I26*1000000</f>
        <v>#DIV/0!</v>
      </c>
      <c r="J10" s="69" t="e">
        <f>SUM(J30:J34)/J26*1000000</f>
        <v>#DIV/0!</v>
      </c>
      <c r="K10" s="14">
        <f aca="true" t="shared" si="1" ref="K10:V10">IF(SUM(K28:K34)=K26,SUM(K30:K34)/K26*1000000,"Error")</f>
        <v>695459.0325765054</v>
      </c>
      <c r="L10" s="14" t="e">
        <f t="shared" si="1"/>
        <v>#DIV/0!</v>
      </c>
      <c r="M10" s="14" t="e">
        <f t="shared" si="1"/>
        <v>#DIV/0!</v>
      </c>
      <c r="N10" s="14" t="e">
        <f t="shared" si="1"/>
        <v>#DIV/0!</v>
      </c>
      <c r="O10" s="14" t="e">
        <f t="shared" si="1"/>
        <v>#DIV/0!</v>
      </c>
      <c r="P10" s="14" t="e">
        <f t="shared" si="1"/>
        <v>#DIV/0!</v>
      </c>
      <c r="Q10" s="14" t="e">
        <f t="shared" si="1"/>
        <v>#DIV/0!</v>
      </c>
      <c r="R10" s="14" t="e">
        <f t="shared" si="1"/>
        <v>#DIV/0!</v>
      </c>
      <c r="S10" s="14" t="e">
        <f t="shared" si="1"/>
        <v>#DIV/0!</v>
      </c>
      <c r="T10" s="14" t="e">
        <f t="shared" si="1"/>
        <v>#DIV/0!</v>
      </c>
      <c r="U10" s="14" t="e">
        <f t="shared" si="1"/>
        <v>#DIV/0!</v>
      </c>
      <c r="V10" s="14" t="e">
        <f t="shared" si="1"/>
        <v>#DIV/0!</v>
      </c>
    </row>
    <row r="11" spans="4:24" ht="12.75">
      <c r="D11" s="151" t="s">
        <v>123</v>
      </c>
      <c r="K11" s="153">
        <f>('Cost (Actual vs. Planned Hrs.)'!F72/SUM('Cost (Actual vs. Planned Hrs.)'!F70:F71)*1000000)-1000000</f>
        <v>33103.81499628327</v>
      </c>
      <c r="L11" s="153" t="e">
        <f>('Cost (Actual vs. Planned Hrs.)'!H72/SUM('Cost (Actual vs. Planned Hrs.)'!H70:H71)*1000000)-1000000</f>
        <v>#DIV/0!</v>
      </c>
      <c r="M11" s="153" t="e">
        <f>('Cost (Actual vs. Planned Hrs.)'!J72/SUM('Cost (Actual vs. Planned Hrs.)'!J70:J71)*1000000)-1000000</f>
        <v>#DIV/0!</v>
      </c>
      <c r="N11" s="153" t="e">
        <f>('Cost (Actual vs. Planned Hrs.)'!L72/SUM('Cost (Actual vs. Planned Hrs.)'!L70:L71)*1000000)-1000000</f>
        <v>#DIV/0!</v>
      </c>
      <c r="O11" s="153" t="e">
        <f>('Cost (Actual vs. Planned Hrs.)'!N72/SUM('Cost (Actual vs. Planned Hrs.)'!N70:N71)*1000000)-1000000</f>
        <v>#DIV/0!</v>
      </c>
      <c r="P11" s="153" t="e">
        <f>('Cost (Actual vs. Planned Hrs.)'!P72/SUM('Cost (Actual vs. Planned Hrs.)'!P70:P71)*1000000)-1000000</f>
        <v>#DIV/0!</v>
      </c>
      <c r="Q11" s="153" t="e">
        <f>('Cost (Actual vs. Planned Hrs.)'!R72/SUM('Cost (Actual vs. Planned Hrs.)'!R70:R71)*1000000)-1000000</f>
        <v>#DIV/0!</v>
      </c>
      <c r="R11" s="153" t="e">
        <f>('Cost (Actual vs. Planned Hrs.)'!T72/SUM('Cost (Actual vs. Planned Hrs.)'!T70:T71)*1000000)-1000000</f>
        <v>#DIV/0!</v>
      </c>
      <c r="S11" s="153" t="e">
        <f>('Cost (Actual vs. Planned Hrs.)'!V72/SUM('Cost (Actual vs. Planned Hrs.)'!V70:V71)*1000000)-1000000</f>
        <v>#DIV/0!</v>
      </c>
      <c r="T11" s="153" t="e">
        <f>('Cost (Actual vs. Planned Hrs.)'!X72/SUM('Cost (Actual vs. Planned Hrs.)'!X70:X71)*1000000)-1000000</f>
        <v>#DIV/0!</v>
      </c>
      <c r="U11" s="153" t="e">
        <f>('Cost (Actual vs. Planned Hrs.)'!Z72/SUM('Cost (Actual vs. Planned Hrs.)'!Z70:Z71)*1000000)-1000000</f>
        <v>#DIV/0!</v>
      </c>
      <c r="V11" s="153" t="e">
        <f>('Cost (Actual vs. Planned Hrs.)'!AB72/SUM('Cost (Actual vs. Planned Hrs.)'!AB70:AB71)*1000000)-1000000</f>
        <v>#DIV/0!</v>
      </c>
      <c r="X11" s="16"/>
    </row>
    <row r="12" ht="6" customHeight="1"/>
    <row r="13" spans="4:22" s="118" customFormat="1" ht="15.75">
      <c r="D13" s="119" t="s">
        <v>202</v>
      </c>
      <c r="G13" s="120"/>
      <c r="H13" s="120"/>
      <c r="I13" s="120"/>
      <c r="J13" s="120"/>
      <c r="K13" s="42">
        <f aca="true" t="shared" si="2" ref="K13:V13">AVERAGE(K7:K11)</f>
        <v>345712.5695145578</v>
      </c>
      <c r="L13" s="42" t="e">
        <f t="shared" si="2"/>
        <v>#DIV/0!</v>
      </c>
      <c r="M13" s="42" t="e">
        <f t="shared" si="2"/>
        <v>#DIV/0!</v>
      </c>
      <c r="N13" s="42" t="e">
        <f t="shared" si="2"/>
        <v>#DIV/0!</v>
      </c>
      <c r="O13" s="42" t="e">
        <f t="shared" si="2"/>
        <v>#DIV/0!</v>
      </c>
      <c r="P13" s="42" t="e">
        <f t="shared" si="2"/>
        <v>#DIV/0!</v>
      </c>
      <c r="Q13" s="42" t="e">
        <f t="shared" si="2"/>
        <v>#DIV/0!</v>
      </c>
      <c r="R13" s="42" t="e">
        <f t="shared" si="2"/>
        <v>#DIV/0!</v>
      </c>
      <c r="S13" s="42" t="e">
        <f t="shared" si="2"/>
        <v>#DIV/0!</v>
      </c>
      <c r="T13" s="42" t="e">
        <f t="shared" si="2"/>
        <v>#DIV/0!</v>
      </c>
      <c r="U13" s="42" t="e">
        <f t="shared" si="2"/>
        <v>#DIV/0!</v>
      </c>
      <c r="V13" s="42" t="e">
        <f t="shared" si="2"/>
        <v>#DIV/0!</v>
      </c>
    </row>
    <row r="14" spans="4:22" s="118" customFormat="1" ht="5.25" customHeight="1" thickBot="1">
      <c r="D14" s="119"/>
      <c r="G14" s="120"/>
      <c r="H14" s="120"/>
      <c r="I14" s="120"/>
      <c r="J14" s="120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</row>
    <row r="15" spans="4:22" s="118" customFormat="1" ht="16.5" thickBot="1">
      <c r="D15" s="119" t="s">
        <v>152</v>
      </c>
      <c r="G15" s="120"/>
      <c r="H15" s="120"/>
      <c r="I15" s="120"/>
      <c r="J15" s="120"/>
      <c r="K15" s="154">
        <v>500000</v>
      </c>
      <c r="L15" s="117"/>
      <c r="M15" s="117"/>
      <c r="N15" s="154">
        <v>450000</v>
      </c>
      <c r="O15" s="117"/>
      <c r="P15" s="117"/>
      <c r="Q15" s="154">
        <v>400000</v>
      </c>
      <c r="R15" s="117"/>
      <c r="S15" s="117"/>
      <c r="T15" s="154">
        <v>350000</v>
      </c>
      <c r="U15" s="117"/>
      <c r="V15" s="117"/>
    </row>
    <row r="16" spans="4:22" s="118" customFormat="1" ht="13.5" customHeight="1">
      <c r="D16" s="119"/>
      <c r="G16" s="120"/>
      <c r="H16" s="120"/>
      <c r="I16" s="120"/>
      <c r="J16" s="120"/>
      <c r="K16" s="155"/>
      <c r="L16" s="117"/>
      <c r="M16" s="117"/>
      <c r="N16" s="155"/>
      <c r="O16" s="117"/>
      <c r="P16" s="117"/>
      <c r="Q16" s="155"/>
      <c r="R16" s="117"/>
      <c r="S16" s="117"/>
      <c r="T16" s="155"/>
      <c r="U16" s="117"/>
      <c r="V16" s="117"/>
    </row>
    <row r="17" spans="4:22" s="118" customFormat="1" ht="26.25">
      <c r="D17" s="119" t="s">
        <v>153</v>
      </c>
      <c r="G17" s="120"/>
      <c r="H17" s="120"/>
      <c r="I17" s="120"/>
      <c r="J17" s="120"/>
      <c r="K17" s="156" t="str">
        <f>IF(K13&gt;K15,"FAIL","PASS")</f>
        <v>PASS</v>
      </c>
      <c r="L17" s="156" t="e">
        <f aca="true" t="shared" si="3" ref="L17:V17">IF(L13&gt;L15,"FAIL","PASS")</f>
        <v>#DIV/0!</v>
      </c>
      <c r="M17" s="156" t="e">
        <f t="shared" si="3"/>
        <v>#DIV/0!</v>
      </c>
      <c r="N17" s="156" t="e">
        <f t="shared" si="3"/>
        <v>#DIV/0!</v>
      </c>
      <c r="O17" s="156" t="e">
        <f t="shared" si="3"/>
        <v>#DIV/0!</v>
      </c>
      <c r="P17" s="156" t="e">
        <f t="shared" si="3"/>
        <v>#DIV/0!</v>
      </c>
      <c r="Q17" s="156" t="e">
        <f t="shared" si="3"/>
        <v>#DIV/0!</v>
      </c>
      <c r="R17" s="156" t="e">
        <f t="shared" si="3"/>
        <v>#DIV/0!</v>
      </c>
      <c r="S17" s="156" t="e">
        <f t="shared" si="3"/>
        <v>#DIV/0!</v>
      </c>
      <c r="T17" s="156" t="e">
        <f t="shared" si="3"/>
        <v>#DIV/0!</v>
      </c>
      <c r="U17" s="156" t="e">
        <f t="shared" si="3"/>
        <v>#DIV/0!</v>
      </c>
      <c r="V17" s="156" t="e">
        <f t="shared" si="3"/>
        <v>#DIV/0!</v>
      </c>
    </row>
    <row r="18" spans="1:24" ht="14.25" customHeight="1">
      <c r="A18" s="84"/>
      <c r="B18" s="68"/>
      <c r="C18" s="68"/>
      <c r="D18" s="65"/>
      <c r="E18" s="51"/>
      <c r="F18" s="88"/>
      <c r="G18" s="111"/>
      <c r="H18" s="112"/>
      <c r="I18" s="112"/>
      <c r="J18" s="111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2"/>
      <c r="X18" s="81"/>
    </row>
    <row r="21" spans="1:23" s="83" customFormat="1" ht="13.5" customHeight="1" thickBot="1">
      <c r="A21" s="75"/>
      <c r="B21" s="76"/>
      <c r="C21" s="76"/>
      <c r="D21" s="75" t="s">
        <v>99</v>
      </c>
      <c r="E21" s="64"/>
      <c r="F21" s="76"/>
      <c r="G21" s="52"/>
      <c r="H21" s="113"/>
      <c r="I21" s="113"/>
      <c r="J21" s="52"/>
      <c r="K21" s="80">
        <f>'Cost (Breakdown)'!K71</f>
        <v>559773.0061666657</v>
      </c>
      <c r="L21" s="80">
        <f>'Cost (Breakdown)'!L71+K21</f>
        <v>1128003.3643333314</v>
      </c>
      <c r="M21" s="80">
        <f>'Cost (Breakdown)'!M71+L21</f>
        <v>1698266.498499997</v>
      </c>
      <c r="N21" s="80">
        <f>'Cost (Breakdown)'!N71+M21</f>
        <v>2263861.7766666627</v>
      </c>
      <c r="O21" s="80">
        <f>'Cost (Breakdown)'!O71+N21</f>
        <v>2816897.2628333285</v>
      </c>
      <c r="P21" s="80">
        <f>'Cost (Breakdown)'!P71+O21</f>
        <v>3367874.8769999943</v>
      </c>
      <c r="Q21" s="80">
        <f>'Cost (Breakdown)'!Q71+P21</f>
        <v>3918250.18716666</v>
      </c>
      <c r="R21" s="80">
        <f>'Cost (Breakdown)'!R71+Q21</f>
        <v>4750947.905333326</v>
      </c>
      <c r="S21" s="80">
        <f>'Cost (Breakdown)'!S71+R21</f>
        <v>5575031.527499992</v>
      </c>
      <c r="T21" s="80">
        <f>'Cost (Breakdown)'!T71+S21</f>
        <v>6144842.933666658</v>
      </c>
      <c r="U21" s="80">
        <f>'Cost (Breakdown)'!U71+T21</f>
        <v>6701216.187833323</v>
      </c>
      <c r="V21" s="80">
        <f>'Cost (Breakdown)'!V71+U21</f>
        <v>7286873.449999989</v>
      </c>
      <c r="W21" s="82"/>
    </row>
    <row r="22" spans="1:22" s="9" customFormat="1" ht="13.5" thickBot="1">
      <c r="A22" s="11" t="s">
        <v>16</v>
      </c>
      <c r="B22" s="121">
        <v>0.975</v>
      </c>
      <c r="C22" s="122"/>
      <c r="D22" s="48" t="s">
        <v>97</v>
      </c>
      <c r="G22" s="115"/>
      <c r="H22" s="115"/>
      <c r="I22" s="115"/>
      <c r="J22" s="115"/>
      <c r="K22" s="66">
        <f aca="true" t="shared" si="4" ref="K22:V22">K21*$B22</f>
        <v>545778.681012499</v>
      </c>
      <c r="L22" s="66">
        <f t="shared" si="4"/>
        <v>1099803.280224998</v>
      </c>
      <c r="M22" s="66">
        <f t="shared" si="4"/>
        <v>1655809.836037497</v>
      </c>
      <c r="N22" s="66">
        <f t="shared" si="4"/>
        <v>2207265.232249996</v>
      </c>
      <c r="O22" s="66">
        <f t="shared" si="4"/>
        <v>2746474.8312624954</v>
      </c>
      <c r="P22" s="66">
        <f t="shared" si="4"/>
        <v>3283678.005074994</v>
      </c>
      <c r="Q22" s="66">
        <f t="shared" si="4"/>
        <v>3820293.9324874934</v>
      </c>
      <c r="R22" s="66">
        <f t="shared" si="4"/>
        <v>4632174.207699993</v>
      </c>
      <c r="S22" s="66">
        <f t="shared" si="4"/>
        <v>5435655.739312492</v>
      </c>
      <c r="T22" s="66">
        <f t="shared" si="4"/>
        <v>5991221.860324991</v>
      </c>
      <c r="U22" s="66">
        <f t="shared" si="4"/>
        <v>6533685.78313749</v>
      </c>
      <c r="V22" s="66">
        <f t="shared" si="4"/>
        <v>7104701.613749989</v>
      </c>
    </row>
    <row r="23" spans="4:22" s="9" customFormat="1" ht="12.75">
      <c r="D23" s="48" t="s">
        <v>98</v>
      </c>
      <c r="G23" s="123"/>
      <c r="H23" s="124"/>
      <c r="I23" s="115"/>
      <c r="J23" s="115"/>
      <c r="K23" s="65">
        <f>'Cost (Breakdown)'!K16</f>
        <v>262413.0348627</v>
      </c>
      <c r="L23" s="65">
        <f>K23+'Cost (Breakdown)'!L16</f>
        <v>262413.0348627</v>
      </c>
      <c r="M23" s="65">
        <f>L23+'Cost (Breakdown)'!M16</f>
        <v>262413.0348627</v>
      </c>
      <c r="N23" s="65">
        <f>M23+'Cost (Breakdown)'!N16</f>
        <v>262413.0348627</v>
      </c>
      <c r="O23" s="65">
        <f>N23+'Cost (Breakdown)'!O16</f>
        <v>262413.0348627</v>
      </c>
      <c r="P23" s="65">
        <f>O23+'Cost (Breakdown)'!P16</f>
        <v>262413.0348627</v>
      </c>
      <c r="Q23" s="65">
        <f>P23+'Cost (Breakdown)'!Q16</f>
        <v>262413.0348627</v>
      </c>
      <c r="R23" s="65">
        <f>Q23+'Cost (Breakdown)'!R16</f>
        <v>262413.0348627</v>
      </c>
      <c r="S23" s="65">
        <f>R23+'Cost (Breakdown)'!S16</f>
        <v>262413.0348627</v>
      </c>
      <c r="T23" s="65">
        <f>S23+'Cost (Breakdown)'!T16</f>
        <v>262413.0348627</v>
      </c>
      <c r="U23" s="65">
        <f>T23+'Cost (Breakdown)'!U16</f>
        <v>262413.0348627</v>
      </c>
      <c r="V23" s="65">
        <f>U23+'Cost (Breakdown)'!V16</f>
        <v>262413.0348627</v>
      </c>
    </row>
    <row r="25" ht="16.5" thickBot="1">
      <c r="D25" s="119" t="s">
        <v>139</v>
      </c>
    </row>
    <row r="26" spans="1:22" ht="13.5" thickBot="1">
      <c r="A26" s="16"/>
      <c r="B26" s="16"/>
      <c r="C26" s="16"/>
      <c r="D26" s="45" t="s">
        <v>54</v>
      </c>
      <c r="G26" s="61"/>
      <c r="H26" s="61">
        <f>SUM(H28:H34)</f>
        <v>2026</v>
      </c>
      <c r="I26" s="61"/>
      <c r="J26" s="61"/>
      <c r="K26" s="18">
        <f>H26</f>
        <v>2026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/>
    </row>
    <row r="27" spans="7:10" ht="6.75" customHeight="1" thickBot="1">
      <c r="G27" s="61"/>
      <c r="H27" s="61"/>
      <c r="I27" s="61"/>
      <c r="J27" s="61"/>
    </row>
    <row r="28" spans="4:22" ht="12.75">
      <c r="D28" s="45" t="s">
        <v>58</v>
      </c>
      <c r="G28" s="61"/>
      <c r="H28" s="61">
        <v>81</v>
      </c>
      <c r="I28" s="61"/>
      <c r="J28" s="61"/>
      <c r="K28" s="62">
        <f aca="true" t="shared" si="5" ref="K28:K34">H28</f>
        <v>81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6"/>
    </row>
    <row r="29" spans="4:22" ht="12.75">
      <c r="D29" s="45" t="s">
        <v>55</v>
      </c>
      <c r="G29" s="61"/>
      <c r="H29" s="61">
        <v>536</v>
      </c>
      <c r="I29" s="61"/>
      <c r="J29" s="61"/>
      <c r="K29" s="63">
        <f t="shared" si="5"/>
        <v>536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8"/>
    </row>
    <row r="30" spans="4:22" ht="12.75">
      <c r="D30" s="45" t="s">
        <v>140</v>
      </c>
      <c r="G30" s="61"/>
      <c r="H30" s="61">
        <v>853</v>
      </c>
      <c r="I30" s="61"/>
      <c r="J30" s="61"/>
      <c r="K30" s="63">
        <f t="shared" si="5"/>
        <v>853</v>
      </c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60"/>
    </row>
    <row r="31" spans="4:22" ht="12.75">
      <c r="D31" s="45" t="s">
        <v>141</v>
      </c>
      <c r="G31" s="61"/>
      <c r="H31" s="61">
        <v>455</v>
      </c>
      <c r="I31" s="61"/>
      <c r="J31" s="61"/>
      <c r="K31" s="63">
        <f t="shared" si="5"/>
        <v>455</v>
      </c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</row>
    <row r="32" spans="4:22" ht="12.75">
      <c r="D32" s="45" t="s">
        <v>142</v>
      </c>
      <c r="G32" s="61"/>
      <c r="H32" s="61">
        <v>69</v>
      </c>
      <c r="I32" s="61"/>
      <c r="J32" s="61"/>
      <c r="K32" s="63">
        <f t="shared" si="5"/>
        <v>69</v>
      </c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60"/>
    </row>
    <row r="33" spans="4:22" ht="12.75">
      <c r="D33" s="45" t="s">
        <v>143</v>
      </c>
      <c r="G33" s="61"/>
      <c r="H33" s="61">
        <v>18</v>
      </c>
      <c r="I33" s="61"/>
      <c r="J33" s="61"/>
      <c r="K33" s="63">
        <f t="shared" si="5"/>
        <v>18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60"/>
    </row>
    <row r="34" spans="4:22" ht="13.5" thickBot="1">
      <c r="D34" s="45" t="s">
        <v>56</v>
      </c>
      <c r="G34" s="61"/>
      <c r="H34" s="61">
        <v>14</v>
      </c>
      <c r="I34" s="61"/>
      <c r="J34" s="61"/>
      <c r="K34" s="33">
        <f t="shared" si="5"/>
        <v>14</v>
      </c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5"/>
    </row>
    <row r="36" ht="16.5" thickBot="1">
      <c r="D36" s="119" t="s">
        <v>119</v>
      </c>
    </row>
    <row r="37" spans="4:22" ht="14.25" customHeight="1" thickBot="1">
      <c r="D37" s="54" t="s">
        <v>84</v>
      </c>
      <c r="G37" s="61"/>
      <c r="H37" s="61">
        <v>231</v>
      </c>
      <c r="I37" s="61"/>
      <c r="J37" s="61"/>
      <c r="K37" s="18">
        <v>231</v>
      </c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20"/>
    </row>
    <row r="39" spans="4:24" ht="16.5" thickBot="1">
      <c r="D39" s="139" t="s">
        <v>117</v>
      </c>
      <c r="X39" s="16"/>
    </row>
    <row r="40" spans="2:24" ht="13.5" thickBot="1">
      <c r="B40" s="16"/>
      <c r="D40" s="137" t="s">
        <v>148</v>
      </c>
      <c r="H40" s="70"/>
      <c r="K40" s="145">
        <v>0.7</v>
      </c>
      <c r="L40" s="117"/>
      <c r="M40" s="117"/>
      <c r="N40" s="145"/>
      <c r="O40" s="117"/>
      <c r="P40" s="117"/>
      <c r="Q40" s="145"/>
      <c r="R40" s="117"/>
      <c r="S40" s="117"/>
      <c r="T40" s="145"/>
      <c r="U40" s="117"/>
      <c r="V40" s="117"/>
      <c r="X40" s="16"/>
    </row>
    <row r="41" spans="1:22" s="16" customFormat="1" ht="13.5" thickBot="1">
      <c r="A41" s="10"/>
      <c r="D41" s="138" t="s">
        <v>149</v>
      </c>
      <c r="G41" s="61"/>
      <c r="H41" s="70">
        <f>47/60</f>
        <v>0.7833333333333333</v>
      </c>
      <c r="I41" s="61"/>
      <c r="J41" s="61"/>
      <c r="K41" s="146">
        <v>0.78</v>
      </c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8"/>
    </row>
    <row r="42" spans="1:22" ht="12.75">
      <c r="A42" s="23"/>
      <c r="B42" s="24"/>
      <c r="C42" s="24"/>
      <c r="D42" s="141" t="s">
        <v>145</v>
      </c>
      <c r="G42" s="69"/>
      <c r="H42" s="69"/>
      <c r="I42" s="69"/>
      <c r="J42" s="6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157" ht="12.75">
      <c r="X157" s="16"/>
    </row>
    <row r="158" ht="12.75">
      <c r="X158" s="16"/>
    </row>
    <row r="159" ht="12.75">
      <c r="X159" s="16"/>
    </row>
    <row r="160" ht="12.75">
      <c r="X160" s="16"/>
    </row>
    <row r="161" ht="12.75">
      <c r="X161" s="16"/>
    </row>
    <row r="162" ht="12.75">
      <c r="X162" s="16"/>
    </row>
    <row r="163" ht="12.75">
      <c r="X163" s="16"/>
    </row>
    <row r="164" ht="12.75">
      <c r="X164" s="16"/>
    </row>
    <row r="165" ht="12.75">
      <c r="X165" s="16"/>
    </row>
    <row r="166" ht="12.75">
      <c r="X166" s="16"/>
    </row>
    <row r="167" ht="12.75">
      <c r="X167" s="16"/>
    </row>
    <row r="168" ht="12.75">
      <c r="X168" s="16"/>
    </row>
    <row r="169" ht="12.75">
      <c r="X169" s="16"/>
    </row>
    <row r="170" ht="12.75">
      <c r="X170" s="16"/>
    </row>
    <row r="171" ht="12.75">
      <c r="X171" s="16"/>
    </row>
    <row r="172" ht="12.75">
      <c r="X172" s="16"/>
    </row>
    <row r="173" ht="12.75">
      <c r="X173" s="16"/>
    </row>
    <row r="174" ht="12.75">
      <c r="X174" s="16"/>
    </row>
    <row r="175" ht="12.75">
      <c r="X175" s="16"/>
    </row>
    <row r="176" ht="12.75">
      <c r="X176" s="16"/>
    </row>
  </sheetData>
  <conditionalFormatting sqref="G42:J42 H7 K13:V14 G9:V9 K7:V8 G6:J6">
    <cfRule type="cellIs" priority="1" dxfId="1" operator="equal" stopIfTrue="1">
      <formula>1000000</formula>
    </cfRule>
  </conditionalFormatting>
  <conditionalFormatting sqref="K42:V42 G10:V10 K6:V6">
    <cfRule type="cellIs" priority="2" dxfId="0" operator="between" stopIfTrue="1">
      <formula>0.00001</formula>
      <formula>49999.999</formula>
    </cfRule>
    <cfRule type="cellIs" priority="3" dxfId="1" operator="greaterThanOrEqual" stopIfTrue="1">
      <formula>50000</formula>
    </cfRule>
    <cfRule type="cellIs" priority="4" dxfId="2" operator="equal" stopIfTrue="1">
      <formula>0</formula>
    </cfRule>
  </conditionalFormatting>
  <conditionalFormatting sqref="K17:V17">
    <cfRule type="cellIs" priority="5" dxfId="1" operator="equal" stopIfTrue="1">
      <formula>"FAIL"</formula>
    </cfRule>
    <cfRule type="cellIs" priority="6" dxfId="3" operator="equal" stopIfTrue="1">
      <formula>"PASS"</formula>
    </cfRule>
  </conditionalFormatting>
  <printOptions/>
  <pageMargins left="0.31" right="0.75" top="1" bottom="1" header="0.5" footer="0.5"/>
  <pageSetup fitToHeight="1" fitToWidth="1" horizontalDpi="600" verticalDpi="600" orientation="landscape" paperSize="8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0"/>
  <sheetViews>
    <sheetView workbookViewId="0" topLeftCell="A1">
      <selection activeCell="C47" sqref="C47"/>
    </sheetView>
  </sheetViews>
  <sheetFormatPr defaultColWidth="9.140625" defaultRowHeight="12.75"/>
  <cols>
    <col min="1" max="1" width="4.140625" style="10" customWidth="1"/>
    <col min="2" max="2" width="9.28125" style="12" bestFit="1" customWidth="1"/>
    <col min="3" max="3" width="61.7109375" style="10" customWidth="1"/>
    <col min="4" max="4" width="9.57421875" style="10" bestFit="1" customWidth="1"/>
    <col min="5" max="5" width="16.421875" style="10" bestFit="1" customWidth="1"/>
    <col min="6" max="6" width="13.8515625" style="10" bestFit="1" customWidth="1"/>
    <col min="7" max="10" width="14.140625" style="10" bestFit="1" customWidth="1"/>
    <col min="11" max="11" width="13.8515625" style="10" bestFit="1" customWidth="1"/>
    <col min="12" max="16" width="11.57421875" style="10" customWidth="1"/>
    <col min="17" max="16384" width="9.140625" style="10" customWidth="1"/>
  </cols>
  <sheetData>
    <row r="2" spans="2:16" s="9" customFormat="1" ht="18">
      <c r="B2" s="13"/>
      <c r="C2" s="144" t="s">
        <v>204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20.25">
      <c r="B3" s="13"/>
      <c r="C3" s="173" t="s">
        <v>207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/>
    <row r="5" ht="6.75" customHeight="1" thickBot="1"/>
    <row r="6" spans="4:16" ht="12.75">
      <c r="D6" s="10" t="s">
        <v>13</v>
      </c>
      <c r="E6" s="2">
        <v>90</v>
      </c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4:16" ht="13.5" thickBot="1">
      <c r="D7" s="10" t="s">
        <v>14</v>
      </c>
      <c r="E7" s="5">
        <v>100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1:16" ht="13.5" thickBot="1">
      <c r="A8" s="11" t="s">
        <v>15</v>
      </c>
      <c r="B8" s="8">
        <v>0.9</v>
      </c>
      <c r="C8" s="9" t="s">
        <v>201</v>
      </c>
      <c r="E8" s="14">
        <f>IF(E6&lt;$B8*E7,1000000,0)</f>
        <v>0</v>
      </c>
      <c r="F8" s="14">
        <f aca="true" t="shared" si="0" ref="F8:P8">IF(F6&lt;$B8*F7,1000000,0)</f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</row>
    <row r="10" spans="3:16" ht="12.75">
      <c r="C10" s="11" t="s">
        <v>37</v>
      </c>
      <c r="E10" s="37">
        <f>AVERAGE(E8)</f>
        <v>0</v>
      </c>
      <c r="F10" s="37">
        <f aca="true" t="shared" si="1" ref="F10:P10">AVERAGE(F8)</f>
        <v>0</v>
      </c>
      <c r="G10" s="37">
        <f t="shared" si="1"/>
        <v>0</v>
      </c>
      <c r="H10" s="37">
        <f t="shared" si="1"/>
        <v>0</v>
      </c>
      <c r="I10" s="37">
        <f t="shared" si="1"/>
        <v>0</v>
      </c>
      <c r="J10" s="37">
        <f t="shared" si="1"/>
        <v>0</v>
      </c>
      <c r="K10" s="37">
        <f t="shared" si="1"/>
        <v>0</v>
      </c>
      <c r="L10" s="37">
        <f t="shared" si="1"/>
        <v>0</v>
      </c>
      <c r="M10" s="37">
        <f t="shared" si="1"/>
        <v>0</v>
      </c>
      <c r="N10" s="37">
        <f t="shared" si="1"/>
        <v>0</v>
      </c>
      <c r="O10" s="37">
        <f t="shared" si="1"/>
        <v>0</v>
      </c>
      <c r="P10" s="37">
        <f t="shared" si="1"/>
        <v>0</v>
      </c>
    </row>
  </sheetData>
  <conditionalFormatting sqref="E8:P8">
    <cfRule type="cellIs" priority="1" dxfId="0" operator="between" stopIfTrue="1">
      <formula>0.00001</formula>
      <formula>49999.999</formula>
    </cfRule>
    <cfRule type="cellIs" priority="2" dxfId="1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6"/>
  <sheetViews>
    <sheetView workbookViewId="0" topLeftCell="A1">
      <selection activeCell="C2" sqref="C2"/>
    </sheetView>
  </sheetViews>
  <sheetFormatPr defaultColWidth="9.140625" defaultRowHeight="12.75"/>
  <cols>
    <col min="1" max="1" width="4.140625" style="10" customWidth="1"/>
    <col min="2" max="2" width="9.421875" style="12" bestFit="1" customWidth="1"/>
    <col min="3" max="3" width="77.8515625" style="10" customWidth="1"/>
    <col min="4" max="4" width="9.140625" style="10" customWidth="1"/>
    <col min="5" max="5" width="14.00390625" style="10" bestFit="1" customWidth="1"/>
    <col min="6" max="6" width="13.421875" style="10" bestFit="1" customWidth="1"/>
    <col min="7" max="7" width="11.57421875" style="10" bestFit="1" customWidth="1"/>
    <col min="8" max="8" width="13.421875" style="10" bestFit="1" customWidth="1"/>
    <col min="9" max="9" width="11.57421875" style="10" bestFit="1" customWidth="1"/>
    <col min="10" max="10" width="14.00390625" style="10" bestFit="1" customWidth="1"/>
    <col min="11" max="11" width="11.8515625" style="10" bestFit="1" customWidth="1"/>
    <col min="12" max="16" width="11.57421875" style="10" bestFit="1" customWidth="1"/>
    <col min="17" max="16384" width="9.140625" style="10" customWidth="1"/>
  </cols>
  <sheetData>
    <row r="2" spans="2:16" s="9" customFormat="1" ht="18">
      <c r="B2" s="13"/>
      <c r="C2" s="144" t="s">
        <v>204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20.25">
      <c r="B3" s="13"/>
      <c r="C3" s="173" t="s">
        <v>208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/>
    <row r="5" ht="13.5" thickBot="1"/>
    <row r="6" spans="3:16" ht="13.5" thickBot="1">
      <c r="C6" s="10" t="s">
        <v>163</v>
      </c>
      <c r="D6" s="10" t="s">
        <v>13</v>
      </c>
      <c r="E6" s="2">
        <v>99</v>
      </c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13.5" thickBot="1">
      <c r="A7" s="11" t="s">
        <v>15</v>
      </c>
      <c r="B7" s="8">
        <v>1</v>
      </c>
      <c r="C7" s="10" t="s">
        <v>162</v>
      </c>
      <c r="D7" s="10" t="s">
        <v>14</v>
      </c>
      <c r="E7" s="5">
        <v>100</v>
      </c>
      <c r="F7" s="6"/>
      <c r="G7" s="6"/>
      <c r="H7" s="6"/>
      <c r="I7" s="6"/>
      <c r="J7" s="6"/>
      <c r="K7" s="6"/>
      <c r="L7" s="6"/>
      <c r="M7" s="6"/>
      <c r="N7" s="6"/>
      <c r="O7" s="6"/>
      <c r="P7" s="7"/>
    </row>
    <row r="8" spans="3:16" ht="12.75">
      <c r="C8" s="9" t="s">
        <v>161</v>
      </c>
      <c r="E8" s="14">
        <f aca="true" t="shared" si="0" ref="E8:P8">IF(E6&lt;=$B7*E7,(($B7*E7)-E6)/($B7*E7)*1000000,0)</f>
        <v>10000</v>
      </c>
      <c r="F8" s="14" t="e">
        <f t="shared" si="0"/>
        <v>#DIV/0!</v>
      </c>
      <c r="G8" s="14" t="e">
        <f t="shared" si="0"/>
        <v>#DIV/0!</v>
      </c>
      <c r="H8" s="14" t="e">
        <f t="shared" si="0"/>
        <v>#DIV/0!</v>
      </c>
      <c r="I8" s="14" t="e">
        <f t="shared" si="0"/>
        <v>#DIV/0!</v>
      </c>
      <c r="J8" s="14" t="e">
        <f t="shared" si="0"/>
        <v>#DIV/0!</v>
      </c>
      <c r="K8" s="14" t="e">
        <f t="shared" si="0"/>
        <v>#DIV/0!</v>
      </c>
      <c r="L8" s="14" t="e">
        <f t="shared" si="0"/>
        <v>#DIV/0!</v>
      </c>
      <c r="M8" s="14" t="e">
        <f t="shared" si="0"/>
        <v>#DIV/0!</v>
      </c>
      <c r="N8" s="14" t="e">
        <f t="shared" si="0"/>
        <v>#DIV/0!</v>
      </c>
      <c r="O8" s="14" t="e">
        <f t="shared" si="0"/>
        <v>#DIV/0!</v>
      </c>
      <c r="P8" s="14" t="e">
        <f t="shared" si="0"/>
        <v>#DIV/0!</v>
      </c>
    </row>
    <row r="9" ht="13.5" thickBot="1"/>
    <row r="10" spans="3:16" ht="13.5" thickBot="1">
      <c r="C10" s="10" t="s">
        <v>131</v>
      </c>
      <c r="D10" s="10" t="s">
        <v>13</v>
      </c>
      <c r="E10" s="2">
        <v>650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ht="13.5" thickBot="1">
      <c r="A11" s="11" t="s">
        <v>15</v>
      </c>
      <c r="B11" s="8">
        <v>0.95</v>
      </c>
      <c r="C11" s="10" t="s">
        <v>129</v>
      </c>
      <c r="D11" s="10" t="s">
        <v>14</v>
      </c>
      <c r="E11" s="5">
        <v>700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3:16" ht="12.75">
      <c r="C12" s="9" t="s">
        <v>159</v>
      </c>
      <c r="E12" s="14">
        <f aca="true" t="shared" si="1" ref="E12:P12">IF(E10&lt;=$B11*E11,(($B11*E11)-E10)/($B11*E11)*1000000,0)</f>
        <v>22556.390977443607</v>
      </c>
      <c r="F12" s="14" t="e">
        <f t="shared" si="1"/>
        <v>#DIV/0!</v>
      </c>
      <c r="G12" s="14" t="e">
        <f t="shared" si="1"/>
        <v>#DIV/0!</v>
      </c>
      <c r="H12" s="14" t="e">
        <f t="shared" si="1"/>
        <v>#DIV/0!</v>
      </c>
      <c r="I12" s="14" t="e">
        <f t="shared" si="1"/>
        <v>#DIV/0!</v>
      </c>
      <c r="J12" s="14" t="e">
        <f t="shared" si="1"/>
        <v>#DIV/0!</v>
      </c>
      <c r="K12" s="14" t="e">
        <f t="shared" si="1"/>
        <v>#DIV/0!</v>
      </c>
      <c r="L12" s="14" t="e">
        <f t="shared" si="1"/>
        <v>#DIV/0!</v>
      </c>
      <c r="M12" s="14" t="e">
        <f t="shared" si="1"/>
        <v>#DIV/0!</v>
      </c>
      <c r="N12" s="14" t="e">
        <f t="shared" si="1"/>
        <v>#DIV/0!</v>
      </c>
      <c r="O12" s="14" t="e">
        <f t="shared" si="1"/>
        <v>#DIV/0!</v>
      </c>
      <c r="P12" s="14" t="e">
        <f t="shared" si="1"/>
        <v>#DIV/0!</v>
      </c>
    </row>
    <row r="13" ht="13.5" thickBot="1"/>
    <row r="14" spans="3:16" ht="13.5" thickBot="1">
      <c r="C14" s="10" t="s">
        <v>136</v>
      </c>
      <c r="D14" s="10" t="s">
        <v>13</v>
      </c>
      <c r="E14" s="2">
        <v>19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4"/>
    </row>
    <row r="15" spans="1:16" ht="13.5" thickBot="1">
      <c r="A15" s="11" t="s">
        <v>15</v>
      </c>
      <c r="B15" s="8">
        <v>1</v>
      </c>
      <c r="C15" s="10" t="s">
        <v>130</v>
      </c>
      <c r="D15" s="10" t="s">
        <v>14</v>
      </c>
      <c r="E15" s="5">
        <v>20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7"/>
    </row>
    <row r="16" spans="3:16" ht="12.75">
      <c r="C16" s="9" t="s">
        <v>157</v>
      </c>
      <c r="E16" s="14">
        <f>IF(E14&lt;$B15*E15,1000000,0)</f>
        <v>1000000</v>
      </c>
      <c r="F16" s="14">
        <f aca="true" t="shared" si="2" ref="F16:P16">IF(F14&lt;$B15*F15,1000000,0)</f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 t="shared" si="2"/>
        <v>0</v>
      </c>
      <c r="P16" s="14">
        <f t="shared" si="2"/>
        <v>0</v>
      </c>
    </row>
    <row r="17" ht="13.5" thickBot="1"/>
    <row r="18" spans="3:16" ht="13.5" thickBot="1">
      <c r="C18" s="10" t="s">
        <v>134</v>
      </c>
      <c r="D18" s="10" t="s">
        <v>13</v>
      </c>
      <c r="E18" s="2">
        <v>19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4"/>
    </row>
    <row r="19" spans="1:16" ht="13.5" thickBot="1">
      <c r="A19" s="11" t="s">
        <v>15</v>
      </c>
      <c r="B19" s="8">
        <v>1</v>
      </c>
      <c r="C19" s="10" t="s">
        <v>130</v>
      </c>
      <c r="D19" s="10" t="s">
        <v>14</v>
      </c>
      <c r="E19" s="5">
        <v>20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</row>
    <row r="20" spans="3:16" ht="12.75">
      <c r="C20" s="9" t="s">
        <v>156</v>
      </c>
      <c r="E20" s="14">
        <f>IF(E18&lt;$B19*E19,1000000,0)</f>
        <v>1000000</v>
      </c>
      <c r="F20" s="14">
        <f aca="true" t="shared" si="3" ref="F20:P20">IF(F18&lt;$B19*F19,1000000,0)</f>
        <v>0</v>
      </c>
      <c r="G20" s="14">
        <f t="shared" si="3"/>
        <v>0</v>
      </c>
      <c r="H20" s="14">
        <f t="shared" si="3"/>
        <v>0</v>
      </c>
      <c r="I20" s="14">
        <f t="shared" si="3"/>
        <v>0</v>
      </c>
      <c r="J20" s="14">
        <f t="shared" si="3"/>
        <v>0</v>
      </c>
      <c r="K20" s="14">
        <f t="shared" si="3"/>
        <v>0</v>
      </c>
      <c r="L20" s="14">
        <f t="shared" si="3"/>
        <v>0</v>
      </c>
      <c r="M20" s="14">
        <f t="shared" si="3"/>
        <v>0</v>
      </c>
      <c r="N20" s="14">
        <f t="shared" si="3"/>
        <v>0</v>
      </c>
      <c r="O20" s="14">
        <f t="shared" si="3"/>
        <v>0</v>
      </c>
      <c r="P20" s="14">
        <f t="shared" si="3"/>
        <v>0</v>
      </c>
    </row>
    <row r="21" ht="13.5" thickBot="1"/>
    <row r="22" spans="3:16" ht="13.5" thickBot="1">
      <c r="C22" s="10" t="s">
        <v>137</v>
      </c>
      <c r="D22" s="10" t="s">
        <v>13</v>
      </c>
      <c r="E22" s="2">
        <v>1450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4"/>
    </row>
    <row r="23" spans="1:16" ht="13.5" thickBot="1">
      <c r="A23" s="11" t="s">
        <v>15</v>
      </c>
      <c r="B23" s="8">
        <v>0.95</v>
      </c>
      <c r="C23" s="10" t="s">
        <v>138</v>
      </c>
      <c r="D23" s="10" t="s">
        <v>14</v>
      </c>
      <c r="E23" s="5">
        <v>1500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</row>
    <row r="24" spans="3:16" ht="12.75">
      <c r="C24" s="9" t="s">
        <v>158</v>
      </c>
      <c r="E24" s="14">
        <f>IF(E22&lt;=$B23*E23,(($B23*E23)-E22)/($B23*E23)*1000000,0)</f>
        <v>0</v>
      </c>
      <c r="F24" s="14" t="e">
        <f aca="true" t="shared" si="4" ref="F24:P24">IF(F22&lt;=$B23*F23,(($B23*F23)-F22)/($B23*F23)*1000000,0)</f>
        <v>#DIV/0!</v>
      </c>
      <c r="G24" s="14" t="e">
        <f t="shared" si="4"/>
        <v>#DIV/0!</v>
      </c>
      <c r="H24" s="14" t="e">
        <f t="shared" si="4"/>
        <v>#DIV/0!</v>
      </c>
      <c r="I24" s="14" t="e">
        <f t="shared" si="4"/>
        <v>#DIV/0!</v>
      </c>
      <c r="J24" s="14" t="e">
        <f t="shared" si="4"/>
        <v>#DIV/0!</v>
      </c>
      <c r="K24" s="14" t="e">
        <f t="shared" si="4"/>
        <v>#DIV/0!</v>
      </c>
      <c r="L24" s="14" t="e">
        <f t="shared" si="4"/>
        <v>#DIV/0!</v>
      </c>
      <c r="M24" s="14" t="e">
        <f t="shared" si="4"/>
        <v>#DIV/0!</v>
      </c>
      <c r="N24" s="14" t="e">
        <f t="shared" si="4"/>
        <v>#DIV/0!</v>
      </c>
      <c r="O24" s="14" t="e">
        <f t="shared" si="4"/>
        <v>#DIV/0!</v>
      </c>
      <c r="P24" s="14" t="e">
        <f t="shared" si="4"/>
        <v>#DIV/0!</v>
      </c>
    </row>
    <row r="25" spans="2:16" ht="13.5" thickBot="1">
      <c r="B25" s="24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2:16" ht="13.5" thickBot="1">
      <c r="B26" s="157">
        <v>150</v>
      </c>
      <c r="C26" s="9" t="s">
        <v>135</v>
      </c>
      <c r="D26" s="10" t="s">
        <v>13</v>
      </c>
      <c r="E26" s="2">
        <v>151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4"/>
    </row>
    <row r="27" spans="1:17" ht="12.75">
      <c r="A27" s="50" t="s">
        <v>160</v>
      </c>
      <c r="E27" s="14">
        <f>IF((E26/$B26)&gt;1,1000000,0)</f>
        <v>1000000</v>
      </c>
      <c r="F27" s="14">
        <f aca="true" t="shared" si="5" ref="F27:P27">IF((F26/$B26)&gt;1,1000000,0)</f>
        <v>0</v>
      </c>
      <c r="G27" s="14">
        <f t="shared" si="5"/>
        <v>0</v>
      </c>
      <c r="H27" s="14">
        <f t="shared" si="5"/>
        <v>0</v>
      </c>
      <c r="I27" s="14">
        <f t="shared" si="5"/>
        <v>0</v>
      </c>
      <c r="J27" s="14">
        <f t="shared" si="5"/>
        <v>0</v>
      </c>
      <c r="K27" s="14">
        <f t="shared" si="5"/>
        <v>0</v>
      </c>
      <c r="L27" s="14">
        <f t="shared" si="5"/>
        <v>0</v>
      </c>
      <c r="M27" s="14">
        <f t="shared" si="5"/>
        <v>0</v>
      </c>
      <c r="N27" s="14">
        <f t="shared" si="5"/>
        <v>0</v>
      </c>
      <c r="O27" s="14">
        <f t="shared" si="5"/>
        <v>0</v>
      </c>
      <c r="P27" s="14">
        <f t="shared" si="5"/>
        <v>0</v>
      </c>
      <c r="Q27" s="14"/>
    </row>
    <row r="28" spans="2:16" ht="13.5" thickBot="1">
      <c r="B28" s="2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2:16" ht="12.75">
      <c r="B29" s="24"/>
      <c r="D29" s="10" t="s">
        <v>13</v>
      </c>
      <c r="E29" s="2">
        <v>10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4"/>
    </row>
    <row r="30" spans="4:16" ht="13.5" thickBot="1">
      <c r="D30" s="10" t="s">
        <v>14</v>
      </c>
      <c r="E30" s="5">
        <v>10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7"/>
    </row>
    <row r="31" spans="1:16" ht="13.5" thickBot="1">
      <c r="A31" s="11" t="s">
        <v>15</v>
      </c>
      <c r="B31" s="8">
        <v>1</v>
      </c>
      <c r="C31" s="9" t="s">
        <v>18</v>
      </c>
      <c r="E31" s="14">
        <f>IF(E29/(E30*$B31)&lt;1,1000000,0)</f>
        <v>0</v>
      </c>
      <c r="F31" s="14" t="e">
        <f aca="true" t="shared" si="6" ref="F31:P31">IF(F29/(F30*$B31)&lt;1,1000000,0)</f>
        <v>#DIV/0!</v>
      </c>
      <c r="G31" s="14" t="e">
        <f t="shared" si="6"/>
        <v>#DIV/0!</v>
      </c>
      <c r="H31" s="14" t="e">
        <f t="shared" si="6"/>
        <v>#DIV/0!</v>
      </c>
      <c r="I31" s="14" t="e">
        <f t="shared" si="6"/>
        <v>#DIV/0!</v>
      </c>
      <c r="J31" s="14" t="e">
        <f t="shared" si="6"/>
        <v>#DIV/0!</v>
      </c>
      <c r="K31" s="14" t="e">
        <f t="shared" si="6"/>
        <v>#DIV/0!</v>
      </c>
      <c r="L31" s="14" t="e">
        <f t="shared" si="6"/>
        <v>#DIV/0!</v>
      </c>
      <c r="M31" s="14" t="e">
        <f t="shared" si="6"/>
        <v>#DIV/0!</v>
      </c>
      <c r="N31" s="14" t="e">
        <f t="shared" si="6"/>
        <v>#DIV/0!</v>
      </c>
      <c r="O31" s="14" t="e">
        <f t="shared" si="6"/>
        <v>#DIV/0!</v>
      </c>
      <c r="P31" s="14" t="e">
        <f t="shared" si="6"/>
        <v>#DIV/0!</v>
      </c>
    </row>
    <row r="32" ht="9" customHeight="1" thickBot="1"/>
    <row r="33" spans="4:16" ht="12.75">
      <c r="D33" s="10" t="s">
        <v>13</v>
      </c>
      <c r="E33" s="2">
        <v>50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</row>
    <row r="34" spans="4:16" ht="13.5" thickBot="1">
      <c r="D34" s="10" t="s">
        <v>14</v>
      </c>
      <c r="E34" s="5">
        <v>2026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7"/>
    </row>
    <row r="35" spans="1:16" ht="13.5" thickBot="1">
      <c r="A35" s="11" t="s">
        <v>16</v>
      </c>
      <c r="B35" s="8">
        <v>0.02</v>
      </c>
      <c r="C35" s="9" t="s">
        <v>17</v>
      </c>
      <c r="E35" s="14">
        <f aca="true" t="shared" si="7" ref="E35:P35">IF(E33/(E34*$B35)&gt;1,1000000,0)</f>
        <v>1000000</v>
      </c>
      <c r="F35" s="14" t="e">
        <f t="shared" si="7"/>
        <v>#DIV/0!</v>
      </c>
      <c r="G35" s="14" t="e">
        <f t="shared" si="7"/>
        <v>#DIV/0!</v>
      </c>
      <c r="H35" s="14" t="e">
        <f t="shared" si="7"/>
        <v>#DIV/0!</v>
      </c>
      <c r="I35" s="14" t="e">
        <f t="shared" si="7"/>
        <v>#DIV/0!</v>
      </c>
      <c r="J35" s="14" t="e">
        <f t="shared" si="7"/>
        <v>#DIV/0!</v>
      </c>
      <c r="K35" s="14" t="e">
        <f t="shared" si="7"/>
        <v>#DIV/0!</v>
      </c>
      <c r="L35" s="14" t="e">
        <f t="shared" si="7"/>
        <v>#DIV/0!</v>
      </c>
      <c r="M35" s="14" t="e">
        <f t="shared" si="7"/>
        <v>#DIV/0!</v>
      </c>
      <c r="N35" s="14" t="e">
        <f t="shared" si="7"/>
        <v>#DIV/0!</v>
      </c>
      <c r="O35" s="14" t="e">
        <f t="shared" si="7"/>
        <v>#DIV/0!</v>
      </c>
      <c r="P35" s="14" t="e">
        <f t="shared" si="7"/>
        <v>#DIV/0!</v>
      </c>
    </row>
    <row r="38" spans="3:16" ht="12.75">
      <c r="C38" s="9" t="s">
        <v>19</v>
      </c>
      <c r="E38" s="15">
        <f>AVERAGE(E35,E31,E27,E24,E20,E16,E12,E8)</f>
        <v>504069.54887218046</v>
      </c>
      <c r="F38" s="15" t="e">
        <f aca="true" t="shared" si="8" ref="F38:P38">AVERAGE(F35,F31,F27,F24,F20,F16,F12,F8)</f>
        <v>#DIV/0!</v>
      </c>
      <c r="G38" s="15" t="e">
        <f t="shared" si="8"/>
        <v>#DIV/0!</v>
      </c>
      <c r="H38" s="15" t="e">
        <f t="shared" si="8"/>
        <v>#DIV/0!</v>
      </c>
      <c r="I38" s="15" t="e">
        <f t="shared" si="8"/>
        <v>#DIV/0!</v>
      </c>
      <c r="J38" s="15" t="e">
        <f t="shared" si="8"/>
        <v>#DIV/0!</v>
      </c>
      <c r="K38" s="15" t="e">
        <f t="shared" si="8"/>
        <v>#DIV/0!</v>
      </c>
      <c r="L38" s="15" t="e">
        <f t="shared" si="8"/>
        <v>#DIV/0!</v>
      </c>
      <c r="M38" s="15" t="e">
        <f t="shared" si="8"/>
        <v>#DIV/0!</v>
      </c>
      <c r="N38" s="15" t="e">
        <f t="shared" si="8"/>
        <v>#DIV/0!</v>
      </c>
      <c r="O38" s="15" t="e">
        <f t="shared" si="8"/>
        <v>#DIV/0!</v>
      </c>
      <c r="P38" s="15" t="e">
        <f t="shared" si="8"/>
        <v>#DIV/0!</v>
      </c>
    </row>
    <row r="40" spans="2:3" s="27" customFormat="1" ht="11.25">
      <c r="B40" s="30"/>
      <c r="C40" s="27" t="s">
        <v>20</v>
      </c>
    </row>
    <row r="41" spans="2:3" s="27" customFormat="1" ht="11.25">
      <c r="B41" s="30"/>
      <c r="C41" s="27" t="s">
        <v>22</v>
      </c>
    </row>
    <row r="42" spans="2:3" s="27" customFormat="1" ht="11.25">
      <c r="B42" s="30"/>
      <c r="C42" s="27" t="s">
        <v>21</v>
      </c>
    </row>
    <row r="45" ht="12.75">
      <c r="C45" s="10" t="s">
        <v>133</v>
      </c>
    </row>
    <row r="46" ht="12.75">
      <c r="C46" s="10" t="s">
        <v>132</v>
      </c>
    </row>
  </sheetData>
  <conditionalFormatting sqref="E27:Q27 E35:P35 E31:P31">
    <cfRule type="cellIs" priority="1" dxfId="1" operator="equal" stopIfTrue="1">
      <formula>1000000</formula>
    </cfRule>
  </conditionalFormatting>
  <conditionalFormatting sqref="E8:P8 E12:P12 E24:P24 E16:P16 E20:P20">
    <cfRule type="cellIs" priority="2" dxfId="0" operator="between" stopIfTrue="1">
      <formula>0.00001</formula>
      <formula>49999.999</formula>
    </cfRule>
    <cfRule type="cellIs" priority="3" dxfId="1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workbookViewId="0" topLeftCell="A1">
      <selection activeCell="C2" sqref="C2"/>
    </sheetView>
  </sheetViews>
  <sheetFormatPr defaultColWidth="9.140625" defaultRowHeight="12.75"/>
  <cols>
    <col min="1" max="1" width="4.140625" style="10" customWidth="1"/>
    <col min="2" max="2" width="9.140625" style="12" customWidth="1"/>
    <col min="3" max="3" width="57.8515625" style="10" customWidth="1"/>
    <col min="4" max="4" width="9.140625" style="10" customWidth="1"/>
    <col min="5" max="5" width="11.8515625" style="10" bestFit="1" customWidth="1"/>
    <col min="6" max="16" width="11.57421875" style="10" bestFit="1" customWidth="1"/>
    <col min="17" max="16384" width="9.140625" style="10" customWidth="1"/>
  </cols>
  <sheetData>
    <row r="2" spans="2:16" s="9" customFormat="1" ht="18">
      <c r="B2" s="13"/>
      <c r="C2" s="144" t="s">
        <v>204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8">
      <c r="B3" s="13"/>
      <c r="C3" s="144" t="s">
        <v>205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 thickBot="1"/>
    <row r="5" spans="3:17" ht="13.5" thickBot="1">
      <c r="C5" s="10" t="s">
        <v>206</v>
      </c>
      <c r="D5" s="16"/>
      <c r="E5" s="18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16"/>
    </row>
    <row r="6" spans="4:17" ht="6.75" customHeight="1" thickBot="1"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3:17" ht="12.75">
      <c r="C7" s="10" t="s">
        <v>23</v>
      </c>
      <c r="D7" s="16"/>
      <c r="E7" s="2">
        <v>0</v>
      </c>
      <c r="F7" s="3"/>
      <c r="G7" s="3"/>
      <c r="H7" s="3"/>
      <c r="I7" s="3"/>
      <c r="J7" s="3"/>
      <c r="K7" s="3"/>
      <c r="L7" s="3"/>
      <c r="M7" s="3"/>
      <c r="N7" s="3"/>
      <c r="O7" s="3"/>
      <c r="P7" s="4"/>
      <c r="Q7" s="16"/>
    </row>
    <row r="8" spans="3:17" ht="12.75">
      <c r="C8" s="10" t="s">
        <v>24</v>
      </c>
      <c r="D8" s="16"/>
      <c r="E8" s="21">
        <v>0</v>
      </c>
      <c r="F8" s="1"/>
      <c r="G8" s="1"/>
      <c r="H8" s="1"/>
      <c r="I8" s="1"/>
      <c r="J8" s="1"/>
      <c r="K8" s="1"/>
      <c r="L8" s="1"/>
      <c r="M8" s="1"/>
      <c r="N8" s="1"/>
      <c r="O8" s="1"/>
      <c r="P8" s="22"/>
      <c r="Q8" s="16"/>
    </row>
    <row r="9" spans="3:17" ht="13.5" thickBot="1">
      <c r="C9" s="10" t="s">
        <v>25</v>
      </c>
      <c r="D9" s="16"/>
      <c r="E9" s="5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7"/>
      <c r="Q9" s="16"/>
    </row>
    <row r="10" spans="3:17" ht="12.75">
      <c r="C10" s="10" t="s">
        <v>26</v>
      </c>
      <c r="D10" s="16"/>
      <c r="E10" s="17">
        <f>IF(E9&gt;0,0,'Cost (Actual vs. Planned Hrs.)'!F72)</f>
        <v>7616</v>
      </c>
      <c r="F10" s="17">
        <f>IF(F9&gt;0,0,'Cost (Actual vs. Planned Hrs.)'!G72)</f>
        <v>0</v>
      </c>
      <c r="G10" s="17">
        <f>IF(G9&gt;0,0,'Cost (Actual vs. Planned Hrs.)'!H72)</f>
        <v>0</v>
      </c>
      <c r="H10" s="17">
        <f>IF(H9&gt;0,0,'Cost (Actual vs. Planned Hrs.)'!I72)</f>
        <v>0</v>
      </c>
      <c r="I10" s="17">
        <f>IF(I9&gt;0,0,'Cost (Actual vs. Planned Hrs.)'!J72)</f>
        <v>0</v>
      </c>
      <c r="J10" s="17">
        <f>IF(J9&gt;0,0,'Cost (Actual vs. Planned Hrs.)'!K72)</f>
        <v>0</v>
      </c>
      <c r="K10" s="17">
        <f>IF(K9&gt;0,0,'Cost (Actual vs. Planned Hrs.)'!L72)</f>
        <v>0</v>
      </c>
      <c r="L10" s="17">
        <f>IF(L9&gt;0,0,'Cost (Actual vs. Planned Hrs.)'!M72)</f>
        <v>0</v>
      </c>
      <c r="M10" s="17">
        <f>IF(M9&gt;0,0,'Cost (Actual vs. Planned Hrs.)'!N72)</f>
        <v>0</v>
      </c>
      <c r="N10" s="17">
        <f>IF(N9&gt;0,0,'Cost (Actual vs. Planned Hrs.)'!O72)</f>
        <v>0</v>
      </c>
      <c r="O10" s="17">
        <f>IF(O9&gt;0,0,'Cost (Actual vs. Planned Hrs.)'!P72)</f>
        <v>0</v>
      </c>
      <c r="P10" s="17">
        <f>IF(P9&gt;0,0,'Cost (Actual vs. Planned Hrs.)'!Q72)</f>
        <v>0</v>
      </c>
      <c r="Q10" s="16"/>
    </row>
    <row r="11" spans="1:16" s="16" customFormat="1" ht="12.75">
      <c r="A11" s="23"/>
      <c r="B11" s="24"/>
      <c r="C11" s="25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2:16" s="16" customFormat="1" ht="12.75">
      <c r="B12" s="26"/>
      <c r="C12" s="25" t="s">
        <v>27</v>
      </c>
      <c r="E12" s="29">
        <f>E9*1000000</f>
        <v>0</v>
      </c>
      <c r="F12" s="29">
        <f>F9*1000000</f>
        <v>0</v>
      </c>
      <c r="G12" s="29">
        <f>G9*1000000</f>
        <v>0</v>
      </c>
      <c r="H12" s="29">
        <f aca="true" t="shared" si="0" ref="H12:P12">H9*1000000</f>
        <v>0</v>
      </c>
      <c r="I12" s="29">
        <f t="shared" si="0"/>
        <v>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 t="shared" si="0"/>
        <v>0</v>
      </c>
      <c r="N12" s="29">
        <f t="shared" si="0"/>
        <v>0</v>
      </c>
      <c r="O12" s="29">
        <f t="shared" si="0"/>
        <v>0</v>
      </c>
      <c r="P12" s="29">
        <f t="shared" si="0"/>
        <v>0</v>
      </c>
    </row>
    <row r="13" s="16" customFormat="1" ht="5.25" customHeight="1" thickBot="1">
      <c r="B13" s="26"/>
    </row>
    <row r="14" spans="2:16" s="16" customFormat="1" ht="13.5" thickBot="1">
      <c r="B14" s="26"/>
      <c r="D14" s="10" t="s">
        <v>13</v>
      </c>
      <c r="E14" s="18">
        <v>71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4:17" ht="13.5" thickBot="1">
      <c r="D15" s="10" t="s">
        <v>14</v>
      </c>
      <c r="E15" s="16">
        <f>E$5</f>
        <v>71</v>
      </c>
      <c r="F15" s="16">
        <f aca="true" t="shared" si="1" ref="F15:P15">F$5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16"/>
    </row>
    <row r="16" spans="1:17" ht="13.5" thickBot="1">
      <c r="A16" s="11" t="s">
        <v>15</v>
      </c>
      <c r="B16" s="8">
        <v>0.95</v>
      </c>
      <c r="C16" s="9" t="s">
        <v>28</v>
      </c>
      <c r="D16" s="16"/>
      <c r="E16" s="14">
        <f aca="true" t="shared" si="2" ref="E16:P16">IF(E14&lt;=$B16*E15,(($B16*E15)-E14)/($B16*E15)*1000000,0)</f>
        <v>0</v>
      </c>
      <c r="F16" s="14" t="e">
        <f t="shared" si="2"/>
        <v>#DIV/0!</v>
      </c>
      <c r="G16" s="14" t="e">
        <f t="shared" si="2"/>
        <v>#DIV/0!</v>
      </c>
      <c r="H16" s="14" t="e">
        <f t="shared" si="2"/>
        <v>#DIV/0!</v>
      </c>
      <c r="I16" s="14" t="e">
        <f t="shared" si="2"/>
        <v>#DIV/0!</v>
      </c>
      <c r="J16" s="14" t="e">
        <f t="shared" si="2"/>
        <v>#DIV/0!</v>
      </c>
      <c r="K16" s="14" t="e">
        <f t="shared" si="2"/>
        <v>#DIV/0!</v>
      </c>
      <c r="L16" s="14" t="e">
        <f t="shared" si="2"/>
        <v>#DIV/0!</v>
      </c>
      <c r="M16" s="14" t="e">
        <f t="shared" si="2"/>
        <v>#DIV/0!</v>
      </c>
      <c r="N16" s="14" t="e">
        <f t="shared" si="2"/>
        <v>#DIV/0!</v>
      </c>
      <c r="O16" s="14" t="e">
        <f t="shared" si="2"/>
        <v>#DIV/0!</v>
      </c>
      <c r="P16" s="14" t="e">
        <f t="shared" si="2"/>
        <v>#DIV/0!</v>
      </c>
      <c r="Q16" s="16"/>
    </row>
    <row r="17" spans="4:17" ht="6.75" customHeight="1" thickBot="1"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4:17" ht="13.5" thickBot="1">
      <c r="D18" s="10" t="s">
        <v>13</v>
      </c>
      <c r="E18" s="18">
        <v>71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0"/>
      <c r="Q18" s="16"/>
    </row>
    <row r="19" spans="4:17" ht="13.5" thickBot="1">
      <c r="D19" s="10" t="s">
        <v>14</v>
      </c>
      <c r="E19" s="16">
        <f>E$5</f>
        <v>71</v>
      </c>
      <c r="F19" s="16">
        <f aca="true" t="shared" si="3" ref="F19:P19">F$5</f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6">
        <f t="shared" si="3"/>
        <v>0</v>
      </c>
      <c r="N19" s="16">
        <f t="shared" si="3"/>
        <v>0</v>
      </c>
      <c r="O19" s="16">
        <f t="shared" si="3"/>
        <v>0</v>
      </c>
      <c r="P19" s="16">
        <f t="shared" si="3"/>
        <v>0</v>
      </c>
      <c r="Q19" s="16"/>
    </row>
    <row r="20" spans="1:17" ht="13.5" thickBot="1">
      <c r="A20" s="11" t="s">
        <v>15</v>
      </c>
      <c r="B20" s="8">
        <v>0.95</v>
      </c>
      <c r="C20" s="9" t="s">
        <v>29</v>
      </c>
      <c r="D20" s="16"/>
      <c r="E20" s="14">
        <f aca="true" t="shared" si="4" ref="E20:P20">IF(E18&lt;=$B20*E19,(($B20*E19)-E18)/($B20*E19)*1000000,0)</f>
        <v>0</v>
      </c>
      <c r="F20" s="14" t="e">
        <f t="shared" si="4"/>
        <v>#DIV/0!</v>
      </c>
      <c r="G20" s="14" t="e">
        <f t="shared" si="4"/>
        <v>#DIV/0!</v>
      </c>
      <c r="H20" s="14" t="e">
        <f t="shared" si="4"/>
        <v>#DIV/0!</v>
      </c>
      <c r="I20" s="14" t="e">
        <f t="shared" si="4"/>
        <v>#DIV/0!</v>
      </c>
      <c r="J20" s="14" t="e">
        <f t="shared" si="4"/>
        <v>#DIV/0!</v>
      </c>
      <c r="K20" s="14" t="e">
        <f t="shared" si="4"/>
        <v>#DIV/0!</v>
      </c>
      <c r="L20" s="14" t="e">
        <f t="shared" si="4"/>
        <v>#DIV/0!</v>
      </c>
      <c r="M20" s="14" t="e">
        <f t="shared" si="4"/>
        <v>#DIV/0!</v>
      </c>
      <c r="N20" s="14" t="e">
        <f t="shared" si="4"/>
        <v>#DIV/0!</v>
      </c>
      <c r="O20" s="14" t="e">
        <f t="shared" si="4"/>
        <v>#DIV/0!</v>
      </c>
      <c r="P20" s="14" t="e">
        <f t="shared" si="4"/>
        <v>#DIV/0!</v>
      </c>
      <c r="Q20" s="16"/>
    </row>
    <row r="21" spans="4:17" ht="6.75" customHeight="1" thickBot="1"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4:17" ht="13.5" thickBot="1">
      <c r="D22" s="10" t="s">
        <v>13</v>
      </c>
      <c r="E22" s="18">
        <v>71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20"/>
      <c r="Q22" s="16"/>
    </row>
    <row r="23" spans="4:17" ht="13.5" thickBot="1">
      <c r="D23" s="10" t="s">
        <v>14</v>
      </c>
      <c r="E23" s="16">
        <f>E$5</f>
        <v>71</v>
      </c>
      <c r="F23" s="16">
        <f aca="true" t="shared" si="5" ref="F23:P23">F$5</f>
        <v>0</v>
      </c>
      <c r="G23" s="16">
        <f t="shared" si="5"/>
        <v>0</v>
      </c>
      <c r="H23" s="16">
        <f t="shared" si="5"/>
        <v>0</v>
      </c>
      <c r="I23" s="16">
        <f t="shared" si="5"/>
        <v>0</v>
      </c>
      <c r="J23" s="16">
        <f t="shared" si="5"/>
        <v>0</v>
      </c>
      <c r="K23" s="16">
        <f t="shared" si="5"/>
        <v>0</v>
      </c>
      <c r="L23" s="16">
        <f t="shared" si="5"/>
        <v>0</v>
      </c>
      <c r="M23" s="16">
        <f t="shared" si="5"/>
        <v>0</v>
      </c>
      <c r="N23" s="16">
        <f t="shared" si="5"/>
        <v>0</v>
      </c>
      <c r="O23" s="16">
        <f t="shared" si="5"/>
        <v>0</v>
      </c>
      <c r="P23" s="16">
        <f t="shared" si="5"/>
        <v>0</v>
      </c>
      <c r="Q23" s="16"/>
    </row>
    <row r="24" spans="1:17" ht="13.5" thickBot="1">
      <c r="A24" s="11" t="s">
        <v>15</v>
      </c>
      <c r="B24" s="8">
        <v>0.95</v>
      </c>
      <c r="C24" s="9" t="s">
        <v>30</v>
      </c>
      <c r="D24" s="16"/>
      <c r="E24" s="14">
        <f aca="true" t="shared" si="6" ref="E24:P24">IF(E22&lt;=$B24*E23,(($B24*E23)-E22)/($B24*E23)*1000000,0)</f>
        <v>0</v>
      </c>
      <c r="F24" s="14" t="e">
        <f t="shared" si="6"/>
        <v>#DIV/0!</v>
      </c>
      <c r="G24" s="14" t="e">
        <f t="shared" si="6"/>
        <v>#DIV/0!</v>
      </c>
      <c r="H24" s="14" t="e">
        <f t="shared" si="6"/>
        <v>#DIV/0!</v>
      </c>
      <c r="I24" s="14" t="e">
        <f t="shared" si="6"/>
        <v>#DIV/0!</v>
      </c>
      <c r="J24" s="14" t="e">
        <f t="shared" si="6"/>
        <v>#DIV/0!</v>
      </c>
      <c r="K24" s="14" t="e">
        <f t="shared" si="6"/>
        <v>#DIV/0!</v>
      </c>
      <c r="L24" s="14" t="e">
        <f t="shared" si="6"/>
        <v>#DIV/0!</v>
      </c>
      <c r="M24" s="14" t="e">
        <f t="shared" si="6"/>
        <v>#DIV/0!</v>
      </c>
      <c r="N24" s="14" t="e">
        <f t="shared" si="6"/>
        <v>#DIV/0!</v>
      </c>
      <c r="O24" s="14" t="e">
        <f t="shared" si="6"/>
        <v>#DIV/0!</v>
      </c>
      <c r="P24" s="14" t="e">
        <f t="shared" si="6"/>
        <v>#DIV/0!</v>
      </c>
      <c r="Q24" s="16"/>
    </row>
    <row r="25" spans="4:17" ht="7.5" customHeight="1"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4:17" ht="8.25" customHeight="1" thickBot="1"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4:17" ht="12.75">
      <c r="D27" s="10" t="s">
        <v>13</v>
      </c>
      <c r="E27" s="2">
        <v>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4"/>
      <c r="Q27" s="16"/>
    </row>
    <row r="28" spans="4:17" ht="13.5" thickBot="1">
      <c r="D28" s="10" t="s">
        <v>14</v>
      </c>
      <c r="E28" s="5">
        <v>10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7"/>
      <c r="Q28" s="16"/>
    </row>
    <row r="29" spans="1:17" ht="13.5" thickBot="1">
      <c r="A29" s="11" t="s">
        <v>15</v>
      </c>
      <c r="B29" s="8">
        <v>1</v>
      </c>
      <c r="C29" s="9" t="s">
        <v>31</v>
      </c>
      <c r="E29" s="14">
        <f aca="true" t="shared" si="7" ref="E29:P29">IF(E27&lt;=$B29*E28,(($B29*E28)-E27)/($B29*E28)*1000000,0)</f>
        <v>500000</v>
      </c>
      <c r="F29" s="14" t="e">
        <f t="shared" si="7"/>
        <v>#DIV/0!</v>
      </c>
      <c r="G29" s="14" t="e">
        <f t="shared" si="7"/>
        <v>#DIV/0!</v>
      </c>
      <c r="H29" s="14" t="e">
        <f t="shared" si="7"/>
        <v>#DIV/0!</v>
      </c>
      <c r="I29" s="14" t="e">
        <f t="shared" si="7"/>
        <v>#DIV/0!</v>
      </c>
      <c r="J29" s="14" t="e">
        <f t="shared" si="7"/>
        <v>#DIV/0!</v>
      </c>
      <c r="K29" s="14" t="e">
        <f t="shared" si="7"/>
        <v>#DIV/0!</v>
      </c>
      <c r="L29" s="14" t="e">
        <f t="shared" si="7"/>
        <v>#DIV/0!</v>
      </c>
      <c r="M29" s="14" t="e">
        <f t="shared" si="7"/>
        <v>#DIV/0!</v>
      </c>
      <c r="N29" s="14" t="e">
        <f t="shared" si="7"/>
        <v>#DIV/0!</v>
      </c>
      <c r="O29" s="14" t="e">
        <f t="shared" si="7"/>
        <v>#DIV/0!</v>
      </c>
      <c r="P29" s="14" t="e">
        <f t="shared" si="7"/>
        <v>#DIV/0!</v>
      </c>
      <c r="Q29" s="16"/>
    </row>
    <row r="30" spans="4:17" ht="5.25" customHeight="1" thickBot="1"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4:17" ht="12.75">
      <c r="D31" s="10" t="s">
        <v>13</v>
      </c>
      <c r="E31" s="2">
        <v>10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4"/>
      <c r="Q31" s="16"/>
    </row>
    <row r="32" spans="4:17" ht="13.5" thickBot="1">
      <c r="D32" s="10" t="s">
        <v>14</v>
      </c>
      <c r="E32" s="5">
        <v>15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7"/>
      <c r="Q32" s="16"/>
    </row>
    <row r="33" spans="1:17" ht="13.5" thickBot="1">
      <c r="A33" s="11" t="s">
        <v>15</v>
      </c>
      <c r="B33" s="8">
        <v>0.98</v>
      </c>
      <c r="C33" s="9" t="s">
        <v>32</v>
      </c>
      <c r="E33" s="14">
        <f aca="true" t="shared" si="8" ref="E33:P33">IF(E31&lt;=$B33*E32,(($B33*E32)-E31)/($B33*E32)*1000000,0)</f>
        <v>319727.89115646255</v>
      </c>
      <c r="F33" s="14" t="e">
        <f t="shared" si="8"/>
        <v>#DIV/0!</v>
      </c>
      <c r="G33" s="14" t="e">
        <f t="shared" si="8"/>
        <v>#DIV/0!</v>
      </c>
      <c r="H33" s="14" t="e">
        <f t="shared" si="8"/>
        <v>#DIV/0!</v>
      </c>
      <c r="I33" s="14" t="e">
        <f t="shared" si="8"/>
        <v>#DIV/0!</v>
      </c>
      <c r="J33" s="14" t="e">
        <f t="shared" si="8"/>
        <v>#DIV/0!</v>
      </c>
      <c r="K33" s="14" t="e">
        <f t="shared" si="8"/>
        <v>#DIV/0!</v>
      </c>
      <c r="L33" s="14" t="e">
        <f t="shared" si="8"/>
        <v>#DIV/0!</v>
      </c>
      <c r="M33" s="14" t="e">
        <f t="shared" si="8"/>
        <v>#DIV/0!</v>
      </c>
      <c r="N33" s="14" t="e">
        <f t="shared" si="8"/>
        <v>#DIV/0!</v>
      </c>
      <c r="O33" s="14" t="e">
        <f t="shared" si="8"/>
        <v>#DIV/0!</v>
      </c>
      <c r="P33" s="14" t="e">
        <f t="shared" si="8"/>
        <v>#DIV/0!</v>
      </c>
      <c r="Q33" s="16"/>
    </row>
    <row r="34" spans="4:17" ht="5.25" customHeight="1" thickBot="1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4:16" ht="12.75">
      <c r="D35" s="10" t="s">
        <v>13</v>
      </c>
      <c r="E35" s="2">
        <v>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4"/>
    </row>
    <row r="36" spans="4:16" ht="13.5" thickBot="1">
      <c r="D36" s="10" t="s">
        <v>14</v>
      </c>
      <c r="E36" s="5">
        <v>10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7"/>
    </row>
    <row r="37" spans="1:16" ht="13.5" thickBot="1">
      <c r="A37" s="11" t="s">
        <v>15</v>
      </c>
      <c r="B37" s="8">
        <v>1</v>
      </c>
      <c r="C37" s="9" t="s">
        <v>33</v>
      </c>
      <c r="E37" s="14">
        <f>IF(E35/(E36*$B37)&lt;1,1000000,0)</f>
        <v>1000000</v>
      </c>
      <c r="F37" s="14" t="e">
        <f>IF(F35/(F36*$B37)&lt;1,1000000,0)</f>
        <v>#DIV/0!</v>
      </c>
      <c r="G37" s="14" t="e">
        <f>IF(G35/(G36*$B37)&lt;1,1000000,0)</f>
        <v>#DIV/0!</v>
      </c>
      <c r="H37" s="14" t="e">
        <f>IF(H35/(H36*$B37)&lt;1,1000000,0)</f>
        <v>#DIV/0!</v>
      </c>
      <c r="I37" s="14" t="e">
        <f>IF(I35/(I36*$B37)&lt;1,1000000,0)</f>
        <v>#DIV/0!</v>
      </c>
      <c r="J37" s="14" t="e">
        <f aca="true" t="shared" si="9" ref="J37:P37">IF(J35/(J36*$B37)&lt;1,1000000,0)</f>
        <v>#DIV/0!</v>
      </c>
      <c r="K37" s="14" t="e">
        <f t="shared" si="9"/>
        <v>#DIV/0!</v>
      </c>
      <c r="L37" s="14" t="e">
        <f t="shared" si="9"/>
        <v>#DIV/0!</v>
      </c>
      <c r="M37" s="14" t="e">
        <f t="shared" si="9"/>
        <v>#DIV/0!</v>
      </c>
      <c r="N37" s="14" t="e">
        <f t="shared" si="9"/>
        <v>#DIV/0!</v>
      </c>
      <c r="O37" s="14" t="e">
        <f t="shared" si="9"/>
        <v>#DIV/0!</v>
      </c>
      <c r="P37" s="14" t="e">
        <f t="shared" si="9"/>
        <v>#DIV/0!</v>
      </c>
    </row>
    <row r="38" spans="4:17" ht="13.5" thickBot="1"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4:16" ht="12.75">
      <c r="D39" s="10" t="s">
        <v>13</v>
      </c>
      <c r="E39" s="2">
        <v>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4"/>
    </row>
    <row r="40" spans="4:16" ht="13.5" thickBot="1">
      <c r="D40" s="10" t="s">
        <v>14</v>
      </c>
      <c r="E40" s="5">
        <v>10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7"/>
    </row>
    <row r="41" spans="1:16" ht="13.5" thickBot="1">
      <c r="A41" s="11" t="s">
        <v>15</v>
      </c>
      <c r="B41" s="8">
        <v>1</v>
      </c>
      <c r="C41" s="9" t="s">
        <v>34</v>
      </c>
      <c r="E41" s="14">
        <f aca="true" t="shared" si="10" ref="E41:P41">IF(E39/(E40*$B41)&lt;1,1000000,0)</f>
        <v>1000000</v>
      </c>
      <c r="F41" s="14" t="e">
        <f t="shared" si="10"/>
        <v>#DIV/0!</v>
      </c>
      <c r="G41" s="14" t="e">
        <f t="shared" si="10"/>
        <v>#DIV/0!</v>
      </c>
      <c r="H41" s="14" t="e">
        <f t="shared" si="10"/>
        <v>#DIV/0!</v>
      </c>
      <c r="I41" s="14" t="e">
        <f t="shared" si="10"/>
        <v>#DIV/0!</v>
      </c>
      <c r="J41" s="14" t="e">
        <f t="shared" si="10"/>
        <v>#DIV/0!</v>
      </c>
      <c r="K41" s="14" t="e">
        <f t="shared" si="10"/>
        <v>#DIV/0!</v>
      </c>
      <c r="L41" s="14" t="e">
        <f t="shared" si="10"/>
        <v>#DIV/0!</v>
      </c>
      <c r="M41" s="14" t="e">
        <f t="shared" si="10"/>
        <v>#DIV/0!</v>
      </c>
      <c r="N41" s="14" t="e">
        <f t="shared" si="10"/>
        <v>#DIV/0!</v>
      </c>
      <c r="O41" s="14" t="e">
        <f t="shared" si="10"/>
        <v>#DIV/0!</v>
      </c>
      <c r="P41" s="14" t="e">
        <f t="shared" si="10"/>
        <v>#DIV/0!</v>
      </c>
    </row>
    <row r="42" spans="4:17" ht="12.75"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4:17" ht="12.7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3:17" ht="12.75">
      <c r="C44" s="9" t="s">
        <v>36</v>
      </c>
      <c r="D44" s="16"/>
      <c r="E44" s="28">
        <f>AVERAGE(E41,E37,E33,E29,E24,E20,E16,E12)</f>
        <v>352465.9863945578</v>
      </c>
      <c r="F44" s="28" t="e">
        <f aca="true" t="shared" si="11" ref="F44:P44">AVERAGE(F41,F37,F33,F29,F24,F20,F16,F12)</f>
        <v>#DIV/0!</v>
      </c>
      <c r="G44" s="28" t="e">
        <f t="shared" si="11"/>
        <v>#DIV/0!</v>
      </c>
      <c r="H44" s="28" t="e">
        <f t="shared" si="11"/>
        <v>#DIV/0!</v>
      </c>
      <c r="I44" s="28" t="e">
        <f t="shared" si="11"/>
        <v>#DIV/0!</v>
      </c>
      <c r="J44" s="28" t="e">
        <f t="shared" si="11"/>
        <v>#DIV/0!</v>
      </c>
      <c r="K44" s="28" t="e">
        <f t="shared" si="11"/>
        <v>#DIV/0!</v>
      </c>
      <c r="L44" s="28" t="e">
        <f t="shared" si="11"/>
        <v>#DIV/0!</v>
      </c>
      <c r="M44" s="28" t="e">
        <f t="shared" si="11"/>
        <v>#DIV/0!</v>
      </c>
      <c r="N44" s="28" t="e">
        <f t="shared" si="11"/>
        <v>#DIV/0!</v>
      </c>
      <c r="O44" s="28" t="e">
        <f t="shared" si="11"/>
        <v>#DIV/0!</v>
      </c>
      <c r="P44" s="28" t="e">
        <f t="shared" si="11"/>
        <v>#DIV/0!</v>
      </c>
      <c r="Q44" s="16"/>
    </row>
    <row r="45" spans="4:17" ht="12.75"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3:17" ht="12.75">
      <c r="C46" s="27" t="s">
        <v>35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4:17" ht="12.75"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4:17" ht="12.75"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50" ht="6" customHeight="1"/>
  </sheetData>
  <conditionalFormatting sqref="E29:P29 E33:P33 E11:P11 E16:P16 E20:P20 E24:P24">
    <cfRule type="cellIs" priority="1" dxfId="0" operator="between" stopIfTrue="1">
      <formula>0.00001</formula>
      <formula>49999.999</formula>
    </cfRule>
    <cfRule type="cellIs" priority="2" dxfId="1" operator="greaterThanOrEqual" stopIfTrue="1">
      <formula>50000</formula>
    </cfRule>
    <cfRule type="cellIs" priority="3" dxfId="2" operator="equal" stopIfTrue="1">
      <formula>0</formula>
    </cfRule>
  </conditionalFormatting>
  <conditionalFormatting sqref="E37:P37 E41:P41">
    <cfRule type="cellIs" priority="4" dxfId="1" operator="equal" stopIfTrue="1">
      <formula>1000000</formula>
    </cfRule>
  </conditionalFormatting>
  <conditionalFormatting sqref="E12:P12">
    <cfRule type="cellIs" priority="5" dxfId="1" operator="greaterThanOrEqual" stopIfTrue="1">
      <formula>1000000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"/>
  <sheetViews>
    <sheetView workbookViewId="0" topLeftCell="A1">
      <selection activeCell="C2" sqref="C2:C3"/>
    </sheetView>
  </sheetViews>
  <sheetFormatPr defaultColWidth="9.140625" defaultRowHeight="12.75"/>
  <cols>
    <col min="1" max="1" width="4.28125" style="10" customWidth="1"/>
    <col min="2" max="2" width="9.421875" style="10" bestFit="1" customWidth="1"/>
    <col min="3" max="3" width="58.28125" style="10" customWidth="1"/>
    <col min="4" max="4" width="9.140625" style="10" customWidth="1"/>
    <col min="5" max="11" width="11.57421875" style="10" bestFit="1" customWidth="1"/>
    <col min="12" max="12" width="11.7109375" style="10" bestFit="1" customWidth="1"/>
    <col min="13" max="16" width="11.57421875" style="10" bestFit="1" customWidth="1"/>
    <col min="17" max="16384" width="9.140625" style="10" customWidth="1"/>
  </cols>
  <sheetData>
    <row r="1" ht="12.75">
      <c r="B1" s="12"/>
    </row>
    <row r="2" spans="2:16" s="9" customFormat="1" ht="18">
      <c r="B2" s="13"/>
      <c r="C2" s="144" t="s">
        <v>204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8">
      <c r="B3" s="13"/>
      <c r="C3" s="144" t="s">
        <v>209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5.25" customHeight="1" thickBot="1">
      <c r="B4" s="12"/>
    </row>
    <row r="5" spans="2:16" ht="12.75">
      <c r="B5" s="12"/>
      <c r="D5" s="10" t="s">
        <v>13</v>
      </c>
      <c r="E5" s="2">
        <v>50</v>
      </c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2:16" ht="13.5" thickBot="1">
      <c r="B6" s="12"/>
      <c r="D6" s="10" t="s">
        <v>14</v>
      </c>
      <c r="E6" s="5">
        <v>60</v>
      </c>
      <c r="F6" s="6"/>
      <c r="G6" s="6"/>
      <c r="H6" s="6"/>
      <c r="I6" s="6"/>
      <c r="J6" s="6"/>
      <c r="K6" s="6"/>
      <c r="L6" s="6"/>
      <c r="M6" s="6"/>
      <c r="N6" s="6"/>
      <c r="O6" s="6"/>
      <c r="P6" s="7"/>
    </row>
    <row r="7" spans="1:16" ht="13.5" thickBot="1">
      <c r="A7" s="11" t="s">
        <v>15</v>
      </c>
      <c r="B7" s="8">
        <v>0.95</v>
      </c>
      <c r="C7" s="31" t="s">
        <v>128</v>
      </c>
      <c r="E7" s="14">
        <f aca="true" t="shared" si="0" ref="E7:P7">IF(E5&lt;=$B7*E6,(($B7*E6)-E5)/($B7*E6)*1000000,0)</f>
        <v>122807.01754385965</v>
      </c>
      <c r="F7" s="14" t="e">
        <f t="shared" si="0"/>
        <v>#DIV/0!</v>
      </c>
      <c r="G7" s="14" t="e">
        <f t="shared" si="0"/>
        <v>#DIV/0!</v>
      </c>
      <c r="H7" s="14" t="e">
        <f t="shared" si="0"/>
        <v>#DIV/0!</v>
      </c>
      <c r="I7" s="14" t="e">
        <f t="shared" si="0"/>
        <v>#DIV/0!</v>
      </c>
      <c r="J7" s="14" t="e">
        <f t="shared" si="0"/>
        <v>#DIV/0!</v>
      </c>
      <c r="K7" s="14" t="e">
        <f t="shared" si="0"/>
        <v>#DIV/0!</v>
      </c>
      <c r="L7" s="14" t="e">
        <f t="shared" si="0"/>
        <v>#DIV/0!</v>
      </c>
      <c r="M7" s="14" t="e">
        <f t="shared" si="0"/>
        <v>#DIV/0!</v>
      </c>
      <c r="N7" s="14" t="e">
        <f t="shared" si="0"/>
        <v>#DIV/0!</v>
      </c>
      <c r="O7" s="14" t="e">
        <f t="shared" si="0"/>
        <v>#DIV/0!</v>
      </c>
      <c r="P7" s="14" t="e">
        <f t="shared" si="0"/>
        <v>#DIV/0!</v>
      </c>
    </row>
    <row r="8" ht="6.75" customHeight="1"/>
    <row r="9" ht="13.5" thickBot="1"/>
    <row r="10" spans="3:16" ht="12.75">
      <c r="C10" s="10" t="s">
        <v>126</v>
      </c>
      <c r="E10" s="2">
        <v>15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3:16" ht="13.5" thickBot="1">
      <c r="C11" s="31" t="s">
        <v>125</v>
      </c>
      <c r="E11" s="142">
        <v>40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7"/>
    </row>
    <row r="12" spans="3:16" ht="12.75">
      <c r="C12" s="10" t="s">
        <v>127</v>
      </c>
      <c r="E12" s="14">
        <f>(E10/E11)*1000000</f>
        <v>375000</v>
      </c>
      <c r="F12" s="14" t="e">
        <f aca="true" t="shared" si="1" ref="F12:P12">(F10/F11)*1000000</f>
        <v>#DIV/0!</v>
      </c>
      <c r="G12" s="14" t="e">
        <f t="shared" si="1"/>
        <v>#DIV/0!</v>
      </c>
      <c r="H12" s="14" t="e">
        <f t="shared" si="1"/>
        <v>#DIV/0!</v>
      </c>
      <c r="I12" s="14" t="e">
        <f t="shared" si="1"/>
        <v>#DIV/0!</v>
      </c>
      <c r="J12" s="14" t="e">
        <f t="shared" si="1"/>
        <v>#DIV/0!</v>
      </c>
      <c r="K12" s="14" t="e">
        <f t="shared" si="1"/>
        <v>#DIV/0!</v>
      </c>
      <c r="L12" s="14" t="e">
        <f t="shared" si="1"/>
        <v>#DIV/0!</v>
      </c>
      <c r="M12" s="14" t="e">
        <f t="shared" si="1"/>
        <v>#DIV/0!</v>
      </c>
      <c r="N12" s="14" t="e">
        <f t="shared" si="1"/>
        <v>#DIV/0!</v>
      </c>
      <c r="O12" s="14" t="e">
        <f t="shared" si="1"/>
        <v>#DIV/0!</v>
      </c>
      <c r="P12" s="14" t="e">
        <f t="shared" si="1"/>
        <v>#DIV/0!</v>
      </c>
    </row>
    <row r="14" spans="3:16" ht="12.75">
      <c r="C14" s="9" t="s">
        <v>203</v>
      </c>
      <c r="E14" s="15">
        <f>AVERAGE(E12,E7)</f>
        <v>248903.50877192983</v>
      </c>
      <c r="F14" s="15" t="e">
        <f aca="true" t="shared" si="2" ref="F14:P14">AVERAGE(F12,F7)</f>
        <v>#DIV/0!</v>
      </c>
      <c r="G14" s="15" t="e">
        <f t="shared" si="2"/>
        <v>#DIV/0!</v>
      </c>
      <c r="H14" s="15" t="e">
        <f t="shared" si="2"/>
        <v>#DIV/0!</v>
      </c>
      <c r="I14" s="15" t="e">
        <f t="shared" si="2"/>
        <v>#DIV/0!</v>
      </c>
      <c r="J14" s="15" t="e">
        <f t="shared" si="2"/>
        <v>#DIV/0!</v>
      </c>
      <c r="K14" s="15" t="e">
        <f t="shared" si="2"/>
        <v>#DIV/0!</v>
      </c>
      <c r="L14" s="15" t="e">
        <f t="shared" si="2"/>
        <v>#DIV/0!</v>
      </c>
      <c r="M14" s="15" t="e">
        <f t="shared" si="2"/>
        <v>#DIV/0!</v>
      </c>
      <c r="N14" s="15" t="e">
        <f t="shared" si="2"/>
        <v>#DIV/0!</v>
      </c>
      <c r="O14" s="15" t="e">
        <f t="shared" si="2"/>
        <v>#DIV/0!</v>
      </c>
      <c r="P14" s="15" t="e">
        <f t="shared" si="2"/>
        <v>#DIV/0!</v>
      </c>
    </row>
  </sheetData>
  <conditionalFormatting sqref="E12:P12">
    <cfRule type="cellIs" priority="1" dxfId="0" operator="greaterThan" stopIfTrue="1">
      <formula>0</formula>
    </cfRule>
  </conditionalFormatting>
  <conditionalFormatting sqref="E7:P7">
    <cfRule type="cellIs" priority="2" dxfId="0" operator="between" stopIfTrue="1">
      <formula>0.00001</formula>
      <formula>49999.999</formula>
    </cfRule>
    <cfRule type="cellIs" priority="3" dxfId="1" operator="greaterThanOrEqual" stopIfTrue="1">
      <formula>50000</formula>
    </cfRule>
    <cfRule type="cellIs" priority="4" dxfId="2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F19" sqref="F19"/>
    </sheetView>
  </sheetViews>
  <sheetFormatPr defaultColWidth="9.140625" defaultRowHeight="12.75"/>
  <cols>
    <col min="1" max="1" width="4.28125" style="10" customWidth="1"/>
    <col min="2" max="2" width="9.28125" style="10" bestFit="1" customWidth="1"/>
    <col min="3" max="3" width="60.7109375" style="10" customWidth="1"/>
    <col min="4" max="4" width="9.140625" style="10" customWidth="1"/>
    <col min="5" max="5" width="10.421875" style="10" bestFit="1" customWidth="1"/>
    <col min="6" max="6" width="10.140625" style="10" bestFit="1" customWidth="1"/>
    <col min="7" max="7" width="10.421875" style="10" bestFit="1" customWidth="1"/>
    <col min="8" max="11" width="9.28125" style="10" bestFit="1" customWidth="1"/>
    <col min="12" max="12" width="11.57421875" style="10" bestFit="1" customWidth="1"/>
    <col min="13" max="16384" width="9.140625" style="10" customWidth="1"/>
  </cols>
  <sheetData>
    <row r="1" ht="12.75">
      <c r="B1" s="12"/>
    </row>
    <row r="2" spans="2:16" s="9" customFormat="1" ht="18">
      <c r="B2" s="13"/>
      <c r="C2" s="144" t="s">
        <v>204</v>
      </c>
      <c r="E2" s="9" t="s">
        <v>0</v>
      </c>
      <c r="F2" s="9" t="s">
        <v>0</v>
      </c>
      <c r="G2" s="9" t="s">
        <v>0</v>
      </c>
      <c r="H2" s="9" t="s">
        <v>0</v>
      </c>
      <c r="I2" s="9" t="s">
        <v>0</v>
      </c>
      <c r="J2" s="9" t="s">
        <v>0</v>
      </c>
      <c r="K2" s="9" t="s">
        <v>0</v>
      </c>
      <c r="L2" s="9" t="s">
        <v>0</v>
      </c>
      <c r="M2" s="9" t="s">
        <v>0</v>
      </c>
      <c r="N2" s="9" t="s">
        <v>0</v>
      </c>
      <c r="O2" s="9" t="s">
        <v>0</v>
      </c>
      <c r="P2" s="9" t="s">
        <v>0</v>
      </c>
    </row>
    <row r="3" spans="2:16" s="9" customFormat="1" ht="18">
      <c r="B3" s="13"/>
      <c r="C3" s="144" t="s">
        <v>210</v>
      </c>
      <c r="E3" s="9" t="s">
        <v>1</v>
      </c>
      <c r="F3" s="9" t="s">
        <v>2</v>
      </c>
      <c r="G3" s="9" t="s">
        <v>3</v>
      </c>
      <c r="H3" s="9" t="s">
        <v>4</v>
      </c>
      <c r="I3" s="9" t="s">
        <v>5</v>
      </c>
      <c r="J3" s="9" t="s">
        <v>6</v>
      </c>
      <c r="K3" s="9" t="s">
        <v>7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</row>
    <row r="4" ht="4.5" customHeight="1">
      <c r="B4" s="12"/>
    </row>
    <row r="5" spans="2:19" ht="12.75">
      <c r="B5" s="2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2:19" ht="12.75">
      <c r="B6" s="2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12.75">
      <c r="A7" s="11"/>
      <c r="B7" s="24"/>
      <c r="C7" s="25"/>
      <c r="D7" s="16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6"/>
      <c r="R7" s="16"/>
      <c r="S7" s="16"/>
    </row>
    <row r="8" spans="2:19" ht="12.7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2:19" ht="12.75">
      <c r="B9" s="16"/>
      <c r="C9" s="25"/>
      <c r="D9" s="16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16"/>
      <c r="R9" s="16"/>
      <c r="S9" s="16"/>
    </row>
    <row r="10" spans="2:19" ht="12.7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2:19" ht="12.7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2:19" ht="12.7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2:19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2:19" ht="12.7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2:19" ht="12.7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</sheetData>
  <conditionalFormatting sqref="E7:P7">
    <cfRule type="cellIs" priority="1" dxfId="0" operator="between" stopIfTrue="1">
      <formula>0.00001</formula>
      <formula>49999.999</formula>
    </cfRule>
    <cfRule type="cellIs" priority="2" dxfId="1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8"/>
  <sheetViews>
    <sheetView zoomScale="50" zoomScaleNormal="50" workbookViewId="0" topLeftCell="A1">
      <selection activeCell="AD51" sqref="AD51"/>
    </sheetView>
  </sheetViews>
  <sheetFormatPr defaultColWidth="9.140625" defaultRowHeight="12.75"/>
  <cols>
    <col min="1" max="3" width="9.140625" style="10" customWidth="1"/>
    <col min="4" max="4" width="41.8515625" style="10" bestFit="1" customWidth="1"/>
    <col min="5" max="5" width="17.57421875" style="10" customWidth="1"/>
    <col min="6" max="6" width="9.140625" style="10" customWidth="1"/>
    <col min="7" max="7" width="11.57421875" style="10" customWidth="1"/>
    <col min="8" max="8" width="11.140625" style="10" customWidth="1"/>
    <col min="9" max="10" width="11.57421875" style="10" customWidth="1"/>
    <col min="11" max="11" width="15.00390625" style="10" bestFit="1" customWidth="1"/>
    <col min="12" max="12" width="11.57421875" style="10" bestFit="1" customWidth="1"/>
    <col min="13" max="13" width="13.140625" style="10" bestFit="1" customWidth="1"/>
    <col min="14" max="19" width="11.57421875" style="10" bestFit="1" customWidth="1"/>
    <col min="20" max="20" width="10.8515625" style="10" bestFit="1" customWidth="1"/>
    <col min="21" max="22" width="11.57421875" style="10" bestFit="1" customWidth="1"/>
    <col min="23" max="23" width="3.140625" style="10" customWidth="1"/>
    <col min="24" max="24" width="17.8515625" style="10" bestFit="1" customWidth="1"/>
    <col min="25" max="16384" width="9.140625" style="10" customWidth="1"/>
  </cols>
  <sheetData>
    <row r="1" spans="24:25" ht="12.75">
      <c r="X1" s="178"/>
      <c r="Y1" s="178"/>
    </row>
    <row r="2" spans="24:25" ht="12.75">
      <c r="X2" s="178"/>
      <c r="Y2" s="178"/>
    </row>
    <row r="3" spans="11:25" ht="12.75">
      <c r="K3" s="9" t="s">
        <v>0</v>
      </c>
      <c r="L3" s="9" t="s">
        <v>0</v>
      </c>
      <c r="M3" s="9" t="s">
        <v>0</v>
      </c>
      <c r="N3" s="9" t="s">
        <v>0</v>
      </c>
      <c r="O3" s="9" t="s">
        <v>0</v>
      </c>
      <c r="P3" s="9" t="s">
        <v>0</v>
      </c>
      <c r="Q3" s="9" t="s">
        <v>0</v>
      </c>
      <c r="R3" s="9" t="s">
        <v>0</v>
      </c>
      <c r="S3" s="9" t="s">
        <v>0</v>
      </c>
      <c r="T3" s="9" t="s">
        <v>0</v>
      </c>
      <c r="U3" s="9" t="s">
        <v>0</v>
      </c>
      <c r="V3" s="9" t="s">
        <v>0</v>
      </c>
      <c r="X3" s="178"/>
      <c r="Y3" s="178"/>
    </row>
    <row r="4" spans="2:25" ht="18">
      <c r="B4" s="144" t="s">
        <v>154</v>
      </c>
      <c r="K4" s="9" t="s">
        <v>1</v>
      </c>
      <c r="L4" s="9" t="s">
        <v>2</v>
      </c>
      <c r="M4" s="9" t="s">
        <v>3</v>
      </c>
      <c r="N4" s="9" t="s">
        <v>4</v>
      </c>
      <c r="O4" s="9" t="s">
        <v>5</v>
      </c>
      <c r="P4" s="9" t="s">
        <v>6</v>
      </c>
      <c r="Q4" s="9" t="s">
        <v>7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12</v>
      </c>
      <c r="X4" s="178"/>
      <c r="Y4" s="178"/>
    </row>
    <row r="5" spans="22:32" ht="12.75">
      <c r="V5" s="52"/>
      <c r="W5" s="52"/>
      <c r="X5" s="178"/>
      <c r="Y5" s="178"/>
      <c r="Z5" s="52"/>
      <c r="AA5" s="52"/>
      <c r="AB5" s="52"/>
      <c r="AC5" s="52"/>
      <c r="AD5" s="52"/>
      <c r="AE5" s="52"/>
      <c r="AF5" s="52"/>
    </row>
    <row r="6" spans="2:32" ht="18">
      <c r="B6" s="144" t="s">
        <v>164</v>
      </c>
      <c r="E6" s="43" t="s">
        <v>211</v>
      </c>
      <c r="G6" s="178"/>
      <c r="H6" s="178"/>
      <c r="I6" s="215"/>
      <c r="J6" s="215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115"/>
      <c r="W6" s="52"/>
      <c r="X6" s="178"/>
      <c r="Y6" s="178"/>
      <c r="Z6" s="52"/>
      <c r="AA6" s="52"/>
      <c r="AB6" s="52"/>
      <c r="AC6" s="52"/>
      <c r="AD6" s="52"/>
      <c r="AE6" s="52"/>
      <c r="AF6" s="52"/>
    </row>
    <row r="7" spans="2:32" ht="12.75">
      <c r="B7" s="45" t="s">
        <v>53</v>
      </c>
      <c r="C7" s="45"/>
      <c r="D7" s="45" t="s">
        <v>44</v>
      </c>
      <c r="F7" s="46"/>
      <c r="G7" s="216">
        <f>SUM(G18,G30)</f>
        <v>347224.33999999997</v>
      </c>
      <c r="H7" s="198">
        <f>SUM(H18,H30)</f>
        <v>372869.31</v>
      </c>
      <c r="I7" s="216">
        <f>SUM(I18,I30)</f>
        <v>340407.403</v>
      </c>
      <c r="J7" s="216">
        <f>SUM(J18,J30)</f>
        <v>341788.403</v>
      </c>
      <c r="K7" s="198">
        <f>SUM(K18,K30)</f>
        <v>154576.563</v>
      </c>
      <c r="L7" s="16"/>
      <c r="M7" s="16"/>
      <c r="N7" s="16"/>
      <c r="O7" s="16"/>
      <c r="P7" s="47"/>
      <c r="Q7" s="16"/>
      <c r="R7" s="16"/>
      <c r="S7" s="16"/>
      <c r="T7" s="16"/>
      <c r="U7" s="16"/>
      <c r="V7" s="61"/>
      <c r="W7" s="52"/>
      <c r="X7" s="180">
        <f aca="true" t="shared" si="0" ref="X7:X15">SUM(G7:K7)</f>
        <v>1556866.0189999999</v>
      </c>
      <c r="Y7" s="211"/>
      <c r="Z7" s="52"/>
      <c r="AA7" s="52"/>
      <c r="AB7" s="52"/>
      <c r="AC7" s="52"/>
      <c r="AD7" s="52"/>
      <c r="AE7" s="52"/>
      <c r="AF7" s="52"/>
    </row>
    <row r="8" spans="2:32" ht="12.75">
      <c r="B8" s="45" t="s">
        <v>53</v>
      </c>
      <c r="C8" s="45"/>
      <c r="D8" s="45" t="s">
        <v>42</v>
      </c>
      <c r="G8" s="216">
        <f>SUM(G19,G32)</f>
        <v>134453.75724028</v>
      </c>
      <c r="H8" s="198">
        <f>SUM(H19,H32)</f>
        <v>138391.864733</v>
      </c>
      <c r="I8" s="216">
        <f>SUM(I19,I32)</f>
        <v>134349.45205720002</v>
      </c>
      <c r="J8" s="216">
        <f>SUM(J19,J32)</f>
        <v>132633.8187762</v>
      </c>
      <c r="K8" s="198">
        <f>SUM(K19,K32)</f>
        <v>33640.759980200004</v>
      </c>
      <c r="L8" s="16"/>
      <c r="M8" s="16"/>
      <c r="N8" s="16"/>
      <c r="O8" s="16"/>
      <c r="P8" s="47"/>
      <c r="Q8" s="16"/>
      <c r="R8" s="16"/>
      <c r="S8" s="16"/>
      <c r="T8" s="16"/>
      <c r="U8" s="16"/>
      <c r="V8" s="61"/>
      <c r="W8" s="52"/>
      <c r="X8" s="180">
        <f t="shared" si="0"/>
        <v>573469.6527868799</v>
      </c>
      <c r="Y8" s="211"/>
      <c r="Z8" s="52"/>
      <c r="AA8" s="52"/>
      <c r="AB8" s="52"/>
      <c r="AC8" s="52"/>
      <c r="AD8" s="52"/>
      <c r="AE8" s="52"/>
      <c r="AF8" s="52"/>
    </row>
    <row r="9" spans="2:32" ht="12.75">
      <c r="B9" s="45" t="s">
        <v>53</v>
      </c>
      <c r="C9" s="45"/>
      <c r="D9" s="45" t="s">
        <v>49</v>
      </c>
      <c r="F9" s="46"/>
      <c r="G9" s="216">
        <f>SUM(G21,G33)</f>
        <v>24249.63</v>
      </c>
      <c r="H9" s="198">
        <f>SUM(H21,H33)</f>
        <v>31754.98</v>
      </c>
      <c r="I9" s="216">
        <f>SUM(I21,I33)</f>
        <v>24905.03</v>
      </c>
      <c r="J9" s="216">
        <f>SUM(J21,J33)</f>
        <v>31582.600000000002</v>
      </c>
      <c r="K9" s="198">
        <f>SUM(K21,K33)</f>
        <v>12664.529999999999</v>
      </c>
      <c r="L9" s="16"/>
      <c r="M9" s="16"/>
      <c r="N9" s="16"/>
      <c r="O9" s="16"/>
      <c r="P9" s="47"/>
      <c r="Q9" s="16"/>
      <c r="R9" s="16"/>
      <c r="S9" s="16"/>
      <c r="T9" s="16"/>
      <c r="U9" s="16"/>
      <c r="V9" s="61"/>
      <c r="W9" s="52"/>
      <c r="X9" s="180">
        <f t="shared" si="0"/>
        <v>125156.77</v>
      </c>
      <c r="Y9" s="211"/>
      <c r="Z9" s="52"/>
      <c r="AA9" s="52"/>
      <c r="AB9" s="52"/>
      <c r="AC9" s="52"/>
      <c r="AD9" s="52"/>
      <c r="AE9" s="52"/>
      <c r="AF9" s="52"/>
    </row>
    <row r="10" spans="2:32" ht="12.75">
      <c r="B10" s="45" t="s">
        <v>53</v>
      </c>
      <c r="C10" s="45"/>
      <c r="D10" s="45" t="s">
        <v>50</v>
      </c>
      <c r="F10" s="46"/>
      <c r="G10" s="216">
        <f>SUM(G25,G31)</f>
        <v>123115.68999999999</v>
      </c>
      <c r="H10" s="198">
        <f>SUM(H25,H31)</f>
        <v>119938.81999999999</v>
      </c>
      <c r="I10" s="216">
        <f>SUM(I25,I31)</f>
        <v>126862.11</v>
      </c>
      <c r="J10" s="216">
        <f>SUM(J25,J31)</f>
        <v>23112.82</v>
      </c>
      <c r="K10" s="198">
        <f>SUM(K25,K31)</f>
        <v>26862.170000000002</v>
      </c>
      <c r="L10" s="16"/>
      <c r="M10" s="16"/>
      <c r="N10" s="16"/>
      <c r="O10" s="16"/>
      <c r="P10" s="47"/>
      <c r="Q10" s="16"/>
      <c r="R10" s="16"/>
      <c r="S10" s="16"/>
      <c r="T10" s="16"/>
      <c r="U10" s="16"/>
      <c r="V10" s="61"/>
      <c r="W10" s="52"/>
      <c r="X10" s="180">
        <f t="shared" si="0"/>
        <v>419891.61</v>
      </c>
      <c r="Y10" s="211"/>
      <c r="Z10" s="52"/>
      <c r="AA10" s="52"/>
      <c r="AB10" s="52"/>
      <c r="AC10" s="52"/>
      <c r="AD10" s="52"/>
      <c r="AE10" s="52"/>
      <c r="AF10" s="52"/>
    </row>
    <row r="11" spans="2:32" ht="12.75">
      <c r="B11" s="45" t="s">
        <v>53</v>
      </c>
      <c r="C11" s="45"/>
      <c r="D11" s="45" t="s">
        <v>45</v>
      </c>
      <c r="G11" s="216">
        <f>SUM(G20,G36)</f>
        <v>19397.7542</v>
      </c>
      <c r="H11" s="198">
        <f>SUM(H20,H36)</f>
        <v>16101.16</v>
      </c>
      <c r="I11" s="216">
        <f>SUM(I20,I36)</f>
        <v>24021.055000000004</v>
      </c>
      <c r="J11" s="216">
        <f>SUM(J20,J36)</f>
        <v>16028.01</v>
      </c>
      <c r="K11" s="198">
        <f>SUM(K20,K36)</f>
        <v>17082.24</v>
      </c>
      <c r="L11" s="16"/>
      <c r="M11" s="16"/>
      <c r="N11" s="16"/>
      <c r="O11" s="16"/>
      <c r="P11" s="47"/>
      <c r="Q11" s="16"/>
      <c r="R11" s="16"/>
      <c r="S11" s="16"/>
      <c r="T11" s="16"/>
      <c r="U11" s="16"/>
      <c r="V11" s="61"/>
      <c r="W11" s="52"/>
      <c r="X11" s="180">
        <f t="shared" si="0"/>
        <v>92630.2192</v>
      </c>
      <c r="Y11" s="211"/>
      <c r="Z11" s="52"/>
      <c r="AA11" s="52"/>
      <c r="AB11" s="52"/>
      <c r="AC11" s="52"/>
      <c r="AD11" s="52"/>
      <c r="AE11" s="52"/>
      <c r="AF11" s="52"/>
    </row>
    <row r="12" spans="2:32" ht="12.75">
      <c r="B12" s="45" t="s">
        <v>53</v>
      </c>
      <c r="C12" s="45"/>
      <c r="D12" s="45" t="s">
        <v>47</v>
      </c>
      <c r="F12" s="46"/>
      <c r="G12" s="216">
        <f aca="true" t="shared" si="1" ref="G12:K13">SUM(G22,G34)</f>
        <v>12027.67</v>
      </c>
      <c r="H12" s="198">
        <f t="shared" si="1"/>
        <v>10937.56</v>
      </c>
      <c r="I12" s="216">
        <f t="shared" si="1"/>
        <v>10411.405</v>
      </c>
      <c r="J12" s="216">
        <f t="shared" si="1"/>
        <v>9999.715</v>
      </c>
      <c r="K12" s="198">
        <f t="shared" si="1"/>
        <v>10915.885</v>
      </c>
      <c r="L12" s="16"/>
      <c r="M12" s="16"/>
      <c r="N12" s="16"/>
      <c r="O12" s="16"/>
      <c r="P12" s="47"/>
      <c r="Q12" s="16"/>
      <c r="R12" s="16"/>
      <c r="S12" s="16"/>
      <c r="T12" s="16"/>
      <c r="U12" s="16"/>
      <c r="V12" s="61"/>
      <c r="W12" s="52"/>
      <c r="X12" s="180">
        <f t="shared" si="0"/>
        <v>54292.23500000001</v>
      </c>
      <c r="Y12" s="211"/>
      <c r="Z12" s="52"/>
      <c r="AA12" s="52"/>
      <c r="AB12" s="52"/>
      <c r="AC12" s="52"/>
      <c r="AD12" s="52"/>
      <c r="AE12" s="52"/>
      <c r="AF12" s="52"/>
    </row>
    <row r="13" spans="2:32" ht="12.75">
      <c r="B13" s="45" t="s">
        <v>53</v>
      </c>
      <c r="C13" s="45"/>
      <c r="D13" s="45" t="s">
        <v>48</v>
      </c>
      <c r="F13" s="46"/>
      <c r="G13" s="216">
        <f t="shared" si="1"/>
        <v>6374.85</v>
      </c>
      <c r="H13" s="198">
        <f t="shared" si="1"/>
        <v>6374.85</v>
      </c>
      <c r="I13" s="216">
        <f t="shared" si="1"/>
        <v>5968.98</v>
      </c>
      <c r="J13" s="216">
        <f t="shared" si="1"/>
        <v>6374.85</v>
      </c>
      <c r="K13" s="198">
        <f t="shared" si="1"/>
        <v>4720.36</v>
      </c>
      <c r="L13" s="16"/>
      <c r="M13" s="16"/>
      <c r="N13" s="16"/>
      <c r="O13" s="16"/>
      <c r="P13" s="47"/>
      <c r="Q13" s="16"/>
      <c r="R13" s="16"/>
      <c r="S13" s="16"/>
      <c r="T13" s="16"/>
      <c r="U13" s="16"/>
      <c r="V13" s="61"/>
      <c r="W13" s="52"/>
      <c r="X13" s="180">
        <f t="shared" si="0"/>
        <v>29813.89</v>
      </c>
      <c r="Y13" s="211"/>
      <c r="Z13" s="52"/>
      <c r="AA13" s="52"/>
      <c r="AB13" s="52"/>
      <c r="AC13" s="52"/>
      <c r="AD13" s="52"/>
      <c r="AE13" s="52"/>
      <c r="AF13" s="52"/>
    </row>
    <row r="14" spans="2:32" ht="12.75">
      <c r="B14" s="45" t="s">
        <v>53</v>
      </c>
      <c r="C14" s="45"/>
      <c r="D14" s="45" t="s">
        <v>39</v>
      </c>
      <c r="F14" s="46"/>
      <c r="G14" s="216">
        <f>SUM(G24,G38)</f>
        <v>0</v>
      </c>
      <c r="H14" s="198">
        <f>SUM(H24,H38)</f>
        <v>5408.327499999999</v>
      </c>
      <c r="I14" s="216">
        <f>SUM(I24,I38)</f>
        <v>2552.66</v>
      </c>
      <c r="J14" s="216">
        <f>SUM(J24,J38)</f>
        <v>2699.4</v>
      </c>
      <c r="K14" s="198">
        <f>SUM(K24,K38)</f>
        <v>1950.5268825</v>
      </c>
      <c r="L14" s="16"/>
      <c r="M14" s="16"/>
      <c r="N14" s="16"/>
      <c r="O14" s="16"/>
      <c r="P14" s="47"/>
      <c r="Q14" s="16"/>
      <c r="R14" s="16"/>
      <c r="S14" s="16"/>
      <c r="T14" s="16"/>
      <c r="U14" s="16"/>
      <c r="V14" s="61"/>
      <c r="W14" s="52"/>
      <c r="X14" s="180">
        <f t="shared" si="0"/>
        <v>12610.9143825</v>
      </c>
      <c r="Y14" s="211"/>
      <c r="Z14" s="52"/>
      <c r="AA14" s="52"/>
      <c r="AB14" s="52"/>
      <c r="AC14" s="52"/>
      <c r="AD14" s="52"/>
      <c r="AE14" s="52"/>
      <c r="AF14" s="52"/>
    </row>
    <row r="15" spans="2:32" ht="12.75">
      <c r="B15" s="45" t="s">
        <v>53</v>
      </c>
      <c r="C15" s="45"/>
      <c r="D15" s="45" t="s">
        <v>51</v>
      </c>
      <c r="F15" s="46"/>
      <c r="G15" s="216">
        <f>SUM(G26,G37)</f>
        <v>0</v>
      </c>
      <c r="H15" s="198">
        <f>SUM(H26,H37)</f>
        <v>0</v>
      </c>
      <c r="I15" s="216">
        <f>SUM(I26,I37)</f>
        <v>0</v>
      </c>
      <c r="J15" s="216">
        <f>SUM(J26,J37)</f>
        <v>0</v>
      </c>
      <c r="K15" s="198">
        <f>SUM(K26,K37)</f>
        <v>0</v>
      </c>
      <c r="L15" s="16"/>
      <c r="M15" s="16"/>
      <c r="N15" s="16"/>
      <c r="O15" s="16"/>
      <c r="P15" s="47"/>
      <c r="Q15" s="16"/>
      <c r="R15" s="16"/>
      <c r="S15" s="16"/>
      <c r="T15" s="16"/>
      <c r="U15" s="16"/>
      <c r="V15" s="61"/>
      <c r="W15" s="52"/>
      <c r="X15" s="180">
        <f t="shared" si="0"/>
        <v>0</v>
      </c>
      <c r="Y15" s="211"/>
      <c r="Z15" s="52"/>
      <c r="AA15" s="52"/>
      <c r="AB15" s="52"/>
      <c r="AC15" s="52"/>
      <c r="AD15" s="52"/>
      <c r="AE15" s="52"/>
      <c r="AF15" s="52"/>
    </row>
    <row r="16" spans="2:32" ht="12.75">
      <c r="B16" s="48" t="s">
        <v>53</v>
      </c>
      <c r="C16" s="48"/>
      <c r="D16" s="48" t="s">
        <v>41</v>
      </c>
      <c r="F16" s="9"/>
      <c r="G16" s="217">
        <f>SUM(G27,G39)</f>
        <v>666843.6914402798</v>
      </c>
      <c r="H16" s="217">
        <f>SUM(H27,H39)</f>
        <v>701776.872233</v>
      </c>
      <c r="I16" s="217">
        <f>SUM(I27,I39)</f>
        <v>669478.0950572</v>
      </c>
      <c r="J16" s="217">
        <f>SUM(J27,J39)</f>
        <v>564219.6167762</v>
      </c>
      <c r="K16" s="199">
        <f>SUM(K27,K39)</f>
        <v>262413.0348627</v>
      </c>
      <c r="M16" s="16"/>
      <c r="P16" s="26"/>
      <c r="Q16" s="16"/>
      <c r="R16" s="16"/>
      <c r="V16" s="52"/>
      <c r="W16" s="52"/>
      <c r="X16" s="200">
        <f>SUM(G16:K16)</f>
        <v>2864731.31036938</v>
      </c>
      <c r="Y16" s="212"/>
      <c r="Z16" s="52"/>
      <c r="AA16" s="204"/>
      <c r="AB16" s="52"/>
      <c r="AC16" s="52"/>
      <c r="AD16" s="52"/>
      <c r="AE16" s="52"/>
      <c r="AF16" s="52"/>
    </row>
    <row r="17" spans="4:32" ht="13.5" thickBot="1">
      <c r="D17" s="45"/>
      <c r="F17" s="16"/>
      <c r="G17" s="209"/>
      <c r="H17" s="209"/>
      <c r="I17" s="209"/>
      <c r="J17" s="209"/>
      <c r="V17" s="52"/>
      <c r="W17" s="52"/>
      <c r="X17" s="178"/>
      <c r="Y17" s="213"/>
      <c r="Z17" s="52"/>
      <c r="AA17" s="52"/>
      <c r="AB17" s="52"/>
      <c r="AC17" s="52"/>
      <c r="AD17" s="52"/>
      <c r="AE17" s="52"/>
      <c r="AF17" s="52"/>
    </row>
    <row r="18" spans="2:32" ht="12.75">
      <c r="B18" s="45" t="s">
        <v>40</v>
      </c>
      <c r="C18" s="45"/>
      <c r="D18" s="45" t="s">
        <v>44</v>
      </c>
      <c r="F18" s="90"/>
      <c r="G18" s="218">
        <v>180557.05</v>
      </c>
      <c r="H18" s="219">
        <v>196220.835</v>
      </c>
      <c r="I18" s="220">
        <v>170629.84</v>
      </c>
      <c r="J18" s="220">
        <v>175203.62</v>
      </c>
      <c r="K18" s="194">
        <v>84799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205"/>
      <c r="W18" s="52"/>
      <c r="X18" s="180">
        <f aca="true" t="shared" si="2" ref="X18:X27">SUM(G18:K18)</f>
        <v>807410.345</v>
      </c>
      <c r="Y18" s="214"/>
      <c r="Z18" s="52"/>
      <c r="AA18" s="52"/>
      <c r="AB18" s="52"/>
      <c r="AC18" s="52"/>
      <c r="AD18" s="52"/>
      <c r="AE18" s="52"/>
      <c r="AF18" s="52"/>
    </row>
    <row r="19" spans="2:32" ht="12.75">
      <c r="B19" s="45" t="s">
        <v>40</v>
      </c>
      <c r="C19" s="45"/>
      <c r="D19" s="45" t="s">
        <v>42</v>
      </c>
      <c r="F19" s="16"/>
      <c r="G19" s="220">
        <v>119800.18665128</v>
      </c>
      <c r="H19" s="219">
        <v>122608.594108</v>
      </c>
      <c r="I19" s="220">
        <v>119172.397622</v>
      </c>
      <c r="J19" s="220">
        <v>117433.021881</v>
      </c>
      <c r="K19" s="195">
        <v>18463.705545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206"/>
      <c r="W19" s="52"/>
      <c r="X19" s="180">
        <f t="shared" si="2"/>
        <v>497477.90580728004</v>
      </c>
      <c r="Y19" s="214"/>
      <c r="Z19" s="52"/>
      <c r="AA19" s="52"/>
      <c r="AB19" s="52"/>
      <c r="AC19" s="52"/>
      <c r="AD19" s="52"/>
      <c r="AE19" s="52"/>
      <c r="AF19" s="52"/>
    </row>
    <row r="20" spans="2:32" ht="12.75">
      <c r="B20" s="45" t="s">
        <v>40</v>
      </c>
      <c r="C20" s="45"/>
      <c r="D20" s="45" t="s">
        <v>45</v>
      </c>
      <c r="F20" s="16"/>
      <c r="G20" s="220">
        <v>18500.6592</v>
      </c>
      <c r="H20" s="219">
        <v>15311.18</v>
      </c>
      <c r="I20" s="220">
        <v>24021.055000000004</v>
      </c>
      <c r="J20" s="220">
        <v>16028.01</v>
      </c>
      <c r="K20" s="196">
        <v>17082.24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206"/>
      <c r="W20" s="52"/>
      <c r="X20" s="180">
        <f t="shared" si="2"/>
        <v>90943.14420000001</v>
      </c>
      <c r="Y20" s="214"/>
      <c r="Z20" s="52"/>
      <c r="AA20" s="52"/>
      <c r="AB20" s="52"/>
      <c r="AC20" s="52"/>
      <c r="AD20" s="52"/>
      <c r="AE20" s="52"/>
      <c r="AF20" s="52"/>
    </row>
    <row r="21" spans="2:32" ht="12.75">
      <c r="B21" s="45" t="s">
        <v>40</v>
      </c>
      <c r="C21" s="45"/>
      <c r="D21" s="45" t="s">
        <v>49</v>
      </c>
      <c r="F21" s="90"/>
      <c r="G21" s="218">
        <v>18777.16</v>
      </c>
      <c r="H21" s="219">
        <v>25485.79</v>
      </c>
      <c r="I21" s="220">
        <v>20505.17</v>
      </c>
      <c r="J21" s="218">
        <v>10225.79</v>
      </c>
      <c r="K21" s="195">
        <v>8264.67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206"/>
      <c r="W21" s="52"/>
      <c r="X21" s="180">
        <f t="shared" si="2"/>
        <v>83258.58</v>
      </c>
      <c r="Y21" s="214"/>
      <c r="Z21" s="52"/>
      <c r="AA21" s="52"/>
      <c r="AB21" s="52"/>
      <c r="AC21" s="52"/>
      <c r="AD21" s="52"/>
      <c r="AE21" s="52"/>
      <c r="AF21" s="52"/>
    </row>
    <row r="22" spans="2:32" ht="12.75">
      <c r="B22" s="45" t="s">
        <v>40</v>
      </c>
      <c r="C22" s="45"/>
      <c r="D22" s="45" t="s">
        <v>47</v>
      </c>
      <c r="F22" s="90"/>
      <c r="G22" s="218">
        <v>6911.52</v>
      </c>
      <c r="H22" s="219">
        <v>5880.4</v>
      </c>
      <c r="I22" s="220">
        <v>5946.88</v>
      </c>
      <c r="J22" s="221">
        <v>5362.88</v>
      </c>
      <c r="K22" s="195">
        <v>6451.36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206"/>
      <c r="W22" s="52"/>
      <c r="X22" s="180">
        <f t="shared" si="2"/>
        <v>30553.04</v>
      </c>
      <c r="Y22" s="214"/>
      <c r="Z22" s="52"/>
      <c r="AA22" s="52"/>
      <c r="AB22" s="52"/>
      <c r="AC22" s="52"/>
      <c r="AD22" s="52"/>
      <c r="AE22" s="52"/>
      <c r="AF22" s="52"/>
    </row>
    <row r="23" spans="2:32" ht="12.75">
      <c r="B23" s="45" t="s">
        <v>40</v>
      </c>
      <c r="C23" s="45"/>
      <c r="D23" s="45" t="s">
        <v>48</v>
      </c>
      <c r="F23" s="90"/>
      <c r="G23" s="221">
        <v>4767.12</v>
      </c>
      <c r="H23" s="219">
        <v>4767.12</v>
      </c>
      <c r="I23" s="220">
        <v>4767.12</v>
      </c>
      <c r="J23" s="218">
        <v>4767.12</v>
      </c>
      <c r="K23" s="195">
        <v>3518.5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206"/>
      <c r="W23" s="52"/>
      <c r="X23" s="180">
        <f t="shared" si="2"/>
        <v>22586.98</v>
      </c>
      <c r="Y23" s="214"/>
      <c r="Z23" s="52"/>
      <c r="AA23" s="52"/>
      <c r="AB23" s="52"/>
      <c r="AC23" s="52"/>
      <c r="AD23" s="52"/>
      <c r="AE23" s="52"/>
      <c r="AF23" s="52"/>
    </row>
    <row r="24" spans="2:32" ht="12.75">
      <c r="B24" s="45" t="s">
        <v>40</v>
      </c>
      <c r="C24" s="45"/>
      <c r="D24" s="45" t="s">
        <v>39</v>
      </c>
      <c r="F24" s="90"/>
      <c r="G24" s="222">
        <v>0</v>
      </c>
      <c r="H24" s="219">
        <v>5408.327499999999</v>
      </c>
      <c r="I24" s="220">
        <v>2552.66</v>
      </c>
      <c r="J24" s="221">
        <v>2699.4</v>
      </c>
      <c r="K24" s="195">
        <v>1950.5268825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206"/>
      <c r="W24" s="52"/>
      <c r="X24" s="180">
        <f t="shared" si="2"/>
        <v>12610.9143825</v>
      </c>
      <c r="Y24" s="214"/>
      <c r="Z24" s="52"/>
      <c r="AA24" s="52"/>
      <c r="AB24" s="52"/>
      <c r="AC24" s="52"/>
      <c r="AD24" s="52"/>
      <c r="AE24" s="52"/>
      <c r="AF24" s="52"/>
    </row>
    <row r="25" spans="2:32" ht="12.75">
      <c r="B25" s="45" t="s">
        <v>40</v>
      </c>
      <c r="C25" s="45"/>
      <c r="D25" s="45" t="s">
        <v>50</v>
      </c>
      <c r="F25" s="90"/>
      <c r="G25" s="218">
        <v>1991.04</v>
      </c>
      <c r="H25" s="219">
        <v>2920.84</v>
      </c>
      <c r="I25" s="221">
        <v>1598.84</v>
      </c>
      <c r="J25" s="218">
        <v>4283.84</v>
      </c>
      <c r="K25" s="195">
        <v>1598.9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206"/>
      <c r="W25" s="52"/>
      <c r="X25" s="180">
        <f t="shared" si="2"/>
        <v>12393.460000000001</v>
      </c>
      <c r="Y25" s="214"/>
      <c r="Z25" s="52"/>
      <c r="AA25" s="52"/>
      <c r="AB25" s="52"/>
      <c r="AC25" s="52"/>
      <c r="AD25" s="52"/>
      <c r="AE25" s="52"/>
      <c r="AF25" s="52"/>
    </row>
    <row r="26" spans="2:32" ht="13.5" thickBot="1">
      <c r="B26" s="45" t="s">
        <v>40</v>
      </c>
      <c r="C26" s="45"/>
      <c r="D26" s="45" t="s">
        <v>51</v>
      </c>
      <c r="F26" s="90"/>
      <c r="G26" s="222">
        <v>0</v>
      </c>
      <c r="H26" s="223">
        <v>0</v>
      </c>
      <c r="I26" s="222">
        <v>0</v>
      </c>
      <c r="J26" s="222">
        <v>0</v>
      </c>
      <c r="K26" s="197"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207"/>
      <c r="W26" s="52"/>
      <c r="X26" s="180">
        <f t="shared" si="2"/>
        <v>0</v>
      </c>
      <c r="Y26" s="214"/>
      <c r="Z26" s="52"/>
      <c r="AA26" s="52"/>
      <c r="AB26" s="52"/>
      <c r="AC26" s="52"/>
      <c r="AD26" s="52"/>
      <c r="AE26" s="52"/>
      <c r="AF26" s="52"/>
    </row>
    <row r="27" spans="2:32" ht="12.75">
      <c r="B27" s="48" t="s">
        <v>40</v>
      </c>
      <c r="C27" s="48"/>
      <c r="D27" s="48" t="s">
        <v>41</v>
      </c>
      <c r="F27" s="25"/>
      <c r="G27" s="202">
        <f>SUM(G18:G26)</f>
        <v>351304.7358512799</v>
      </c>
      <c r="H27" s="224">
        <f>SUM(H18:H26)</f>
        <v>378603.08660800004</v>
      </c>
      <c r="I27" s="202">
        <f>SUM(I18:I26)</f>
        <v>349193.96262199996</v>
      </c>
      <c r="J27" s="202">
        <f>SUM(J18:J26)</f>
        <v>336003.68188100006</v>
      </c>
      <c r="K27" s="201">
        <f>SUM(K18:K26)</f>
        <v>142128.9024275</v>
      </c>
      <c r="V27" s="52"/>
      <c r="W27" s="52"/>
      <c r="X27" s="200">
        <f t="shared" si="2"/>
        <v>1557234.3693897799</v>
      </c>
      <c r="Y27" s="214"/>
      <c r="Z27" s="52"/>
      <c r="AA27" s="52"/>
      <c r="AB27" s="52"/>
      <c r="AC27" s="52"/>
      <c r="AD27" s="52"/>
      <c r="AE27" s="52"/>
      <c r="AF27" s="52"/>
    </row>
    <row r="28" spans="4:32" ht="12.75">
      <c r="D28" s="45"/>
      <c r="F28" s="16"/>
      <c r="G28" s="209"/>
      <c r="H28" s="209"/>
      <c r="I28" s="209"/>
      <c r="J28" s="209"/>
      <c r="V28" s="52"/>
      <c r="W28" s="52"/>
      <c r="X28" s="178"/>
      <c r="Y28" s="178"/>
      <c r="Z28" s="52"/>
      <c r="AA28" s="52"/>
      <c r="AB28" s="52"/>
      <c r="AC28" s="52"/>
      <c r="AD28" s="52"/>
      <c r="AE28" s="52"/>
      <c r="AF28" s="52"/>
    </row>
    <row r="29" spans="4:32" ht="13.5" thickBot="1">
      <c r="D29" s="45"/>
      <c r="F29" s="16"/>
      <c r="G29" s="209"/>
      <c r="H29" s="209"/>
      <c r="I29" s="209"/>
      <c r="J29" s="209"/>
      <c r="V29" s="52"/>
      <c r="W29" s="52"/>
      <c r="X29" s="178"/>
      <c r="Y29" s="178"/>
      <c r="Z29" s="52"/>
      <c r="AA29" s="52"/>
      <c r="AB29" s="52"/>
      <c r="AC29" s="52"/>
      <c r="AD29" s="52"/>
      <c r="AE29" s="52"/>
      <c r="AF29" s="52"/>
    </row>
    <row r="30" spans="2:32" ht="13.5">
      <c r="B30" s="45" t="s">
        <v>43</v>
      </c>
      <c r="C30" s="45"/>
      <c r="D30" s="45" t="s">
        <v>44</v>
      </c>
      <c r="F30" s="16"/>
      <c r="G30" s="220">
        <v>166667.29</v>
      </c>
      <c r="H30" s="219">
        <v>176648.475</v>
      </c>
      <c r="I30" s="225">
        <v>169777.563</v>
      </c>
      <c r="J30" s="220">
        <v>166584.783</v>
      </c>
      <c r="K30" s="188">
        <v>69777.563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205"/>
      <c r="W30" s="52"/>
      <c r="X30" s="180">
        <f aca="true" t="shared" si="3" ref="X30:X39">SUM(G30:K30)</f>
        <v>749455.674</v>
      </c>
      <c r="Y30" s="214"/>
      <c r="Z30" s="52"/>
      <c r="AA30" s="52"/>
      <c r="AB30" s="52"/>
      <c r="AC30" s="52"/>
      <c r="AD30" s="52"/>
      <c r="AE30" s="52"/>
      <c r="AF30" s="52"/>
    </row>
    <row r="31" spans="2:32" ht="12.75">
      <c r="B31" s="45" t="s">
        <v>43</v>
      </c>
      <c r="C31" s="45"/>
      <c r="D31" s="45" t="s">
        <v>50</v>
      </c>
      <c r="F31" s="16"/>
      <c r="G31" s="220">
        <v>121124.65</v>
      </c>
      <c r="H31" s="219">
        <v>117017.98</v>
      </c>
      <c r="I31" s="220">
        <v>125263.27</v>
      </c>
      <c r="J31" s="220">
        <v>18828.98</v>
      </c>
      <c r="K31" s="189">
        <v>25263.27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206"/>
      <c r="W31" s="52"/>
      <c r="X31" s="180">
        <f t="shared" si="3"/>
        <v>407498.15</v>
      </c>
      <c r="Y31" s="214"/>
      <c r="Z31" s="52"/>
      <c r="AA31" s="52"/>
      <c r="AB31" s="52"/>
      <c r="AC31" s="52"/>
      <c r="AD31" s="52"/>
      <c r="AE31" s="52"/>
      <c r="AF31" s="52"/>
    </row>
    <row r="32" spans="2:32" ht="12.75">
      <c r="B32" s="45" t="s">
        <v>43</v>
      </c>
      <c r="C32" s="45"/>
      <c r="D32" s="45" t="s">
        <v>42</v>
      </c>
      <c r="F32" s="16"/>
      <c r="G32" s="220">
        <v>14653.570589000003</v>
      </c>
      <c r="H32" s="219">
        <v>15783.270625</v>
      </c>
      <c r="I32" s="220">
        <v>15177.0544352</v>
      </c>
      <c r="J32" s="220">
        <v>15200.796895200005</v>
      </c>
      <c r="K32" s="189">
        <v>15177.0544352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206"/>
      <c r="W32" s="52"/>
      <c r="X32" s="180">
        <f t="shared" si="3"/>
        <v>75991.74697960001</v>
      </c>
      <c r="Y32" s="214"/>
      <c r="Z32" s="52"/>
      <c r="AA32" s="52"/>
      <c r="AB32" s="52"/>
      <c r="AC32" s="52"/>
      <c r="AD32" s="52"/>
      <c r="AE32" s="52"/>
      <c r="AF32" s="52"/>
    </row>
    <row r="33" spans="2:32" ht="12.75">
      <c r="B33" s="45" t="s">
        <v>43</v>
      </c>
      <c r="C33" s="45"/>
      <c r="D33" s="45" t="s">
        <v>49</v>
      </c>
      <c r="F33" s="16"/>
      <c r="G33" s="221">
        <v>5472.47</v>
      </c>
      <c r="H33" s="219">
        <v>6269.19</v>
      </c>
      <c r="I33" s="220">
        <v>4399.86</v>
      </c>
      <c r="J33" s="220">
        <v>21356.81</v>
      </c>
      <c r="K33" s="189">
        <v>4399.86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206"/>
      <c r="W33" s="52"/>
      <c r="X33" s="180">
        <f t="shared" si="3"/>
        <v>41898.19</v>
      </c>
      <c r="Y33" s="214"/>
      <c r="Z33" s="52"/>
      <c r="AA33" s="52"/>
      <c r="AB33" s="52"/>
      <c r="AC33" s="52"/>
      <c r="AD33" s="52"/>
      <c r="AE33" s="52"/>
      <c r="AF33" s="52"/>
    </row>
    <row r="34" spans="2:32" ht="12.75">
      <c r="B34" s="45" t="s">
        <v>43</v>
      </c>
      <c r="C34" s="45"/>
      <c r="D34" s="45" t="s">
        <v>47</v>
      </c>
      <c r="F34" s="16"/>
      <c r="G34" s="221">
        <v>5116.15</v>
      </c>
      <c r="H34" s="219">
        <v>5057.16</v>
      </c>
      <c r="I34" s="221">
        <v>4464.525000000001</v>
      </c>
      <c r="J34" s="220">
        <v>4636.835</v>
      </c>
      <c r="K34" s="190">
        <v>4464.525000000001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206"/>
      <c r="W34" s="52"/>
      <c r="X34" s="180">
        <f t="shared" si="3"/>
        <v>23739.195</v>
      </c>
      <c r="Y34" s="214"/>
      <c r="Z34" s="52"/>
      <c r="AA34" s="52"/>
      <c r="AB34" s="52"/>
      <c r="AC34" s="52"/>
      <c r="AD34" s="52"/>
      <c r="AE34" s="52"/>
      <c r="AF34" s="52"/>
    </row>
    <row r="35" spans="2:32" ht="13.5" customHeight="1">
      <c r="B35" s="45" t="s">
        <v>43</v>
      </c>
      <c r="C35" s="45"/>
      <c r="D35" s="45" t="s">
        <v>48</v>
      </c>
      <c r="F35" s="16"/>
      <c r="G35" s="220">
        <v>1607.73</v>
      </c>
      <c r="H35" s="219">
        <v>1607.73</v>
      </c>
      <c r="I35" s="220">
        <v>1201.86</v>
      </c>
      <c r="J35" s="221">
        <v>1607.73</v>
      </c>
      <c r="K35" s="191">
        <v>1201.86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206"/>
      <c r="W35" s="52"/>
      <c r="X35" s="180">
        <f t="shared" si="3"/>
        <v>7226.909999999999</v>
      </c>
      <c r="Y35" s="214"/>
      <c r="Z35" s="52"/>
      <c r="AA35" s="52"/>
      <c r="AB35" s="52"/>
      <c r="AC35" s="52"/>
      <c r="AD35" s="52"/>
      <c r="AE35" s="52"/>
      <c r="AF35" s="52"/>
    </row>
    <row r="36" spans="2:32" ht="12.75">
      <c r="B36" s="45" t="s">
        <v>43</v>
      </c>
      <c r="C36" s="45"/>
      <c r="D36" s="45" t="s">
        <v>45</v>
      </c>
      <c r="F36" s="16"/>
      <c r="G36" s="220">
        <v>897.095</v>
      </c>
      <c r="H36" s="219">
        <v>789.98</v>
      </c>
      <c r="I36" s="221">
        <v>0</v>
      </c>
      <c r="J36" s="222">
        <v>0</v>
      </c>
      <c r="K36" s="192">
        <v>0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206"/>
      <c r="W36" s="52"/>
      <c r="X36" s="180">
        <f t="shared" si="3"/>
        <v>1687.075</v>
      </c>
      <c r="Y36" s="214"/>
      <c r="Z36" s="52"/>
      <c r="AA36" s="52"/>
      <c r="AB36" s="52"/>
      <c r="AC36" s="52"/>
      <c r="AD36" s="52"/>
      <c r="AE36" s="52"/>
      <c r="AF36" s="52"/>
    </row>
    <row r="37" spans="2:32" ht="12.75">
      <c r="B37" s="45" t="s">
        <v>43</v>
      </c>
      <c r="C37" s="45"/>
      <c r="D37" s="45" t="s">
        <v>51</v>
      </c>
      <c r="F37" s="16"/>
      <c r="G37" s="221">
        <v>0</v>
      </c>
      <c r="H37" s="226">
        <v>0</v>
      </c>
      <c r="I37" s="221">
        <v>0</v>
      </c>
      <c r="J37" s="222">
        <v>0</v>
      </c>
      <c r="K37" s="192">
        <v>0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206"/>
      <c r="W37" s="52"/>
      <c r="X37" s="180">
        <f t="shared" si="3"/>
        <v>0</v>
      </c>
      <c r="Y37" s="214"/>
      <c r="Z37" s="52"/>
      <c r="AA37" s="52"/>
      <c r="AB37" s="52"/>
      <c r="AC37" s="52"/>
      <c r="AD37" s="52"/>
      <c r="AE37" s="52"/>
      <c r="AF37" s="52"/>
    </row>
    <row r="38" spans="2:32" ht="13.5" thickBot="1">
      <c r="B38" s="45" t="s">
        <v>43</v>
      </c>
      <c r="C38" s="45"/>
      <c r="D38" s="45" t="s">
        <v>39</v>
      </c>
      <c r="F38" s="16"/>
      <c r="G38" s="221">
        <v>0</v>
      </c>
      <c r="H38" s="226">
        <v>0</v>
      </c>
      <c r="I38" s="221">
        <v>0</v>
      </c>
      <c r="J38" s="222">
        <v>0</v>
      </c>
      <c r="K38" s="193">
        <v>0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207"/>
      <c r="W38" s="52"/>
      <c r="X38" s="180">
        <f t="shared" si="3"/>
        <v>0</v>
      </c>
      <c r="Y38" s="214"/>
      <c r="Z38" s="52"/>
      <c r="AA38" s="52"/>
      <c r="AB38" s="52"/>
      <c r="AC38" s="52"/>
      <c r="AD38" s="52"/>
      <c r="AE38" s="52"/>
      <c r="AF38" s="52"/>
    </row>
    <row r="39" spans="2:32" ht="12.75">
      <c r="B39" s="48" t="s">
        <v>52</v>
      </c>
      <c r="C39" s="48"/>
      <c r="D39" s="48" t="s">
        <v>41</v>
      </c>
      <c r="G39" s="202">
        <f>SUM(G30:G38)</f>
        <v>315538.95558899996</v>
      </c>
      <c r="H39" s="224">
        <f>SUM(H30:H38)</f>
        <v>323173.78562499996</v>
      </c>
      <c r="I39" s="202">
        <f>SUM(I30:I38)</f>
        <v>320284.1324352</v>
      </c>
      <c r="J39" s="202">
        <f>SUM(J30:J38)</f>
        <v>228215.93489520001</v>
      </c>
      <c r="K39" s="202">
        <f>SUM(K30:K38)</f>
        <v>120284.1324352</v>
      </c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61"/>
      <c r="W39" s="52"/>
      <c r="X39" s="200">
        <f t="shared" si="3"/>
        <v>1307496.9409796</v>
      </c>
      <c r="Y39" s="178"/>
      <c r="Z39" s="52"/>
      <c r="AA39" s="52"/>
      <c r="AB39" s="52"/>
      <c r="AC39" s="52"/>
      <c r="AD39" s="52"/>
      <c r="AE39" s="52"/>
      <c r="AF39" s="52"/>
    </row>
    <row r="40" spans="3:32" ht="12.75">
      <c r="C40" s="45"/>
      <c r="D40" s="45" t="s">
        <v>46</v>
      </c>
      <c r="G40" s="178"/>
      <c r="H40" s="178"/>
      <c r="I40" s="178"/>
      <c r="J40" s="178"/>
      <c r="V40" s="52"/>
      <c r="W40" s="52"/>
      <c r="X40" s="178"/>
      <c r="Y40" s="178"/>
      <c r="Z40" s="52"/>
      <c r="AA40" s="52"/>
      <c r="AB40" s="52"/>
      <c r="AC40" s="52"/>
      <c r="AD40" s="52"/>
      <c r="AE40" s="52"/>
      <c r="AF40" s="52"/>
    </row>
    <row r="41" spans="4:32" ht="12.75">
      <c r="D41" s="45"/>
      <c r="G41" s="178"/>
      <c r="H41" s="178"/>
      <c r="I41" s="178"/>
      <c r="J41" s="178"/>
      <c r="V41" s="52"/>
      <c r="W41" s="52"/>
      <c r="X41" s="178"/>
      <c r="Y41" s="178"/>
      <c r="Z41" s="52"/>
      <c r="AA41" s="52"/>
      <c r="AB41" s="52"/>
      <c r="AC41" s="52"/>
      <c r="AD41" s="52"/>
      <c r="AE41" s="52"/>
      <c r="AF41" s="52"/>
    </row>
    <row r="42" spans="7:32" ht="12.75">
      <c r="G42" s="178"/>
      <c r="H42" s="178"/>
      <c r="I42" s="178"/>
      <c r="J42" s="178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7:32" ht="12.75"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52"/>
      <c r="AA43" s="52"/>
      <c r="AB43" s="52"/>
      <c r="AC43" s="52"/>
      <c r="AD43" s="52"/>
      <c r="AE43" s="52"/>
      <c r="AF43" s="52"/>
    </row>
    <row r="44" spans="1:32" ht="18">
      <c r="A44" s="76"/>
      <c r="B44" s="144" t="s">
        <v>212</v>
      </c>
      <c r="C44" s="76"/>
      <c r="D44" s="143"/>
      <c r="E44" s="76"/>
      <c r="F44" s="76"/>
      <c r="G44" s="208"/>
      <c r="H44" s="17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178"/>
      <c r="X44" s="178"/>
      <c r="Y44" s="178"/>
      <c r="Z44" s="52"/>
      <c r="AA44" s="52"/>
      <c r="AB44" s="52"/>
      <c r="AC44" s="52"/>
      <c r="AD44" s="52"/>
      <c r="AE44" s="52"/>
      <c r="AF44" s="52"/>
    </row>
    <row r="45" spans="1:32" ht="12.75">
      <c r="A45" s="79"/>
      <c r="B45" s="77" t="s">
        <v>57</v>
      </c>
      <c r="C45" s="77"/>
      <c r="D45" s="87" t="s">
        <v>75</v>
      </c>
      <c r="E45" s="174"/>
      <c r="F45" s="175"/>
      <c r="G45" s="176"/>
      <c r="H45" s="175"/>
      <c r="I45" s="176"/>
      <c r="J45" s="176"/>
      <c r="K45" s="177">
        <v>1191.6</v>
      </c>
      <c r="L45" s="177">
        <v>1798.2</v>
      </c>
      <c r="M45" s="177">
        <v>1944</v>
      </c>
      <c r="N45" s="177">
        <v>1609.2</v>
      </c>
      <c r="O45" s="177">
        <v>1425.6</v>
      </c>
      <c r="P45" s="177">
        <v>1278</v>
      </c>
      <c r="Q45" s="177">
        <v>1234.8</v>
      </c>
      <c r="R45" s="177">
        <v>1186.2</v>
      </c>
      <c r="S45" s="177">
        <v>1859.4</v>
      </c>
      <c r="T45" s="177">
        <v>1911.6</v>
      </c>
      <c r="U45" s="177">
        <v>1665</v>
      </c>
      <c r="V45" s="177">
        <v>896.4</v>
      </c>
      <c r="W45" s="178"/>
      <c r="X45" s="179">
        <f aca="true" t="shared" si="4" ref="X45:X71">SUM(K45:V45)</f>
        <v>18000</v>
      </c>
      <c r="Y45" s="178"/>
      <c r="Z45" s="52"/>
      <c r="AA45" s="52"/>
      <c r="AB45" s="52"/>
      <c r="AC45" s="52"/>
      <c r="AD45" s="52"/>
      <c r="AE45" s="52"/>
      <c r="AF45" s="52"/>
    </row>
    <row r="46" spans="1:32" ht="12.75">
      <c r="A46" s="81"/>
      <c r="B46" s="77" t="s">
        <v>57</v>
      </c>
      <c r="C46" s="77"/>
      <c r="D46" s="87" t="s">
        <v>77</v>
      </c>
      <c r="E46" s="174"/>
      <c r="F46" s="175"/>
      <c r="G46" s="180"/>
      <c r="H46" s="181"/>
      <c r="I46" s="181"/>
      <c r="J46" s="180"/>
      <c r="K46" s="177">
        <v>951.062962</v>
      </c>
      <c r="L46" s="177">
        <v>1435.214349</v>
      </c>
      <c r="M46" s="177">
        <v>1551.58308</v>
      </c>
      <c r="N46" s="177">
        <v>1284.365994</v>
      </c>
      <c r="O46" s="177">
        <v>1137.8275919999999</v>
      </c>
      <c r="P46" s="177">
        <v>1020.02221</v>
      </c>
      <c r="Q46" s="177">
        <v>985.5425860000001</v>
      </c>
      <c r="R46" s="177">
        <v>946.753009</v>
      </c>
      <c r="S46" s="177">
        <v>1484.060483</v>
      </c>
      <c r="T46" s="177">
        <v>1525.723362</v>
      </c>
      <c r="U46" s="177">
        <v>1328.902175</v>
      </c>
      <c r="V46" s="177">
        <v>715.4521980000001</v>
      </c>
      <c r="W46" s="177"/>
      <c r="X46" s="179">
        <f t="shared" si="4"/>
        <v>14366.51</v>
      </c>
      <c r="Y46" s="178"/>
      <c r="Z46" s="52"/>
      <c r="AA46" s="52"/>
      <c r="AB46" s="52"/>
      <c r="AC46" s="52"/>
      <c r="AD46" s="52"/>
      <c r="AE46" s="52"/>
      <c r="AF46" s="52"/>
    </row>
    <row r="47" spans="1:32" ht="12.75">
      <c r="A47" s="81"/>
      <c r="B47" s="77" t="s">
        <v>57</v>
      </c>
      <c r="C47" s="77"/>
      <c r="D47" s="87" t="s">
        <v>78</v>
      </c>
      <c r="E47" s="174"/>
      <c r="F47" s="175"/>
      <c r="G47" s="175"/>
      <c r="H47" s="181"/>
      <c r="I47" s="181"/>
      <c r="J47" s="175"/>
      <c r="K47" s="177">
        <v>1426.594774</v>
      </c>
      <c r="L47" s="177">
        <v>2152.822023</v>
      </c>
      <c r="M47" s="177">
        <v>2327.3751600000005</v>
      </c>
      <c r="N47" s="177">
        <v>1926.549438</v>
      </c>
      <c r="O47" s="177">
        <v>1706.7417839999998</v>
      </c>
      <c r="P47" s="177">
        <v>1530.0336699999998</v>
      </c>
      <c r="Q47" s="177">
        <v>1478.3142220000002</v>
      </c>
      <c r="R47" s="177">
        <v>1420.129843</v>
      </c>
      <c r="S47" s="177">
        <v>2226.091241</v>
      </c>
      <c r="T47" s="177">
        <v>2288.5855739999997</v>
      </c>
      <c r="U47" s="177">
        <v>1993.353725</v>
      </c>
      <c r="V47" s="177">
        <v>1073.178546</v>
      </c>
      <c r="W47" s="182"/>
      <c r="X47" s="179">
        <f t="shared" si="4"/>
        <v>21549.770000000004</v>
      </c>
      <c r="Y47" s="178"/>
      <c r="Z47" s="52"/>
      <c r="AA47" s="52"/>
      <c r="AB47" s="52"/>
      <c r="AC47" s="52"/>
      <c r="AD47" s="52"/>
      <c r="AE47" s="52"/>
      <c r="AF47" s="52"/>
    </row>
    <row r="48" spans="1:32" s="16" customFormat="1" ht="12.75">
      <c r="A48" s="83"/>
      <c r="B48" s="77" t="s">
        <v>57</v>
      </c>
      <c r="C48" s="77"/>
      <c r="D48" s="87" t="s">
        <v>79</v>
      </c>
      <c r="E48" s="174"/>
      <c r="F48" s="180"/>
      <c r="G48" s="175"/>
      <c r="H48" s="181"/>
      <c r="I48" s="181"/>
      <c r="J48" s="175"/>
      <c r="K48" s="177">
        <v>951.062962</v>
      </c>
      <c r="L48" s="177">
        <v>1435.214349</v>
      </c>
      <c r="M48" s="177">
        <v>1551.58308</v>
      </c>
      <c r="N48" s="177">
        <v>1284.365994</v>
      </c>
      <c r="O48" s="177">
        <v>1137.8275919999999</v>
      </c>
      <c r="P48" s="177">
        <v>1020.02221</v>
      </c>
      <c r="Q48" s="177">
        <v>985.5425860000001</v>
      </c>
      <c r="R48" s="177">
        <v>946.753009</v>
      </c>
      <c r="S48" s="177">
        <v>1484.060483</v>
      </c>
      <c r="T48" s="177">
        <v>1525.723362</v>
      </c>
      <c r="U48" s="177">
        <v>1328.902175</v>
      </c>
      <c r="V48" s="177">
        <v>715.4521980000001</v>
      </c>
      <c r="W48" s="182"/>
      <c r="X48" s="179">
        <f t="shared" si="4"/>
        <v>14366.51</v>
      </c>
      <c r="Y48" s="209"/>
      <c r="Z48" s="61"/>
      <c r="AA48" s="61"/>
      <c r="AB48" s="61"/>
      <c r="AC48" s="61"/>
      <c r="AD48" s="61"/>
      <c r="AE48" s="61"/>
      <c r="AF48" s="61"/>
    </row>
    <row r="49" spans="1:32" ht="12.75">
      <c r="A49" s="81"/>
      <c r="B49" s="77" t="s">
        <v>57</v>
      </c>
      <c r="C49" s="77"/>
      <c r="D49" s="87" t="s">
        <v>80</v>
      </c>
      <c r="E49" s="174"/>
      <c r="F49" s="175"/>
      <c r="G49" s="180"/>
      <c r="H49" s="181"/>
      <c r="I49" s="181"/>
      <c r="J49" s="180"/>
      <c r="K49" s="177">
        <v>1902.125924</v>
      </c>
      <c r="L49" s="177">
        <v>2870.428698</v>
      </c>
      <c r="M49" s="177">
        <v>3103.16616</v>
      </c>
      <c r="N49" s="177">
        <v>2568.731988</v>
      </c>
      <c r="O49" s="177">
        <v>2275.6551839999997</v>
      </c>
      <c r="P49" s="177">
        <v>2040.04442</v>
      </c>
      <c r="Q49" s="177">
        <v>1971.0851720000003</v>
      </c>
      <c r="R49" s="177">
        <v>1893.506018</v>
      </c>
      <c r="S49" s="177">
        <v>2968.120966</v>
      </c>
      <c r="T49" s="177">
        <v>3051.446724</v>
      </c>
      <c r="U49" s="177">
        <v>2657.80435</v>
      </c>
      <c r="V49" s="177">
        <v>1430.9043960000001</v>
      </c>
      <c r="W49" s="177"/>
      <c r="X49" s="179">
        <f t="shared" si="4"/>
        <v>28733.02</v>
      </c>
      <c r="Y49" s="178"/>
      <c r="Z49" s="52"/>
      <c r="AA49" s="52"/>
      <c r="AB49" s="52"/>
      <c r="AC49" s="52"/>
      <c r="AD49" s="52"/>
      <c r="AE49" s="52"/>
      <c r="AF49" s="52"/>
    </row>
    <row r="50" spans="1:32" ht="12.75">
      <c r="A50" s="81"/>
      <c r="B50" s="77" t="s">
        <v>57</v>
      </c>
      <c r="C50" s="77"/>
      <c r="D50" s="87" t="s">
        <v>81</v>
      </c>
      <c r="E50" s="174"/>
      <c r="F50" s="175"/>
      <c r="G50" s="175"/>
      <c r="H50" s="181"/>
      <c r="I50" s="181"/>
      <c r="J50" s="175"/>
      <c r="K50" s="177">
        <v>2720.82</v>
      </c>
      <c r="L50" s="177">
        <v>4105.89</v>
      </c>
      <c r="M50" s="177">
        <v>4438.8</v>
      </c>
      <c r="N50" s="177">
        <v>3674.34</v>
      </c>
      <c r="O50" s="177">
        <v>3255.12</v>
      </c>
      <c r="P50" s="177">
        <v>2918.1</v>
      </c>
      <c r="Q50" s="177">
        <v>2819.46</v>
      </c>
      <c r="R50" s="177">
        <v>2708.49</v>
      </c>
      <c r="S50" s="177">
        <v>4245.63</v>
      </c>
      <c r="T50" s="177">
        <v>4364.82</v>
      </c>
      <c r="U50" s="177">
        <v>3801.75</v>
      </c>
      <c r="V50" s="177">
        <v>2046.78</v>
      </c>
      <c r="W50" s="182"/>
      <c r="X50" s="179">
        <f t="shared" si="4"/>
        <v>41100</v>
      </c>
      <c r="Y50" s="178"/>
      <c r="Z50" s="52"/>
      <c r="AA50" s="52"/>
      <c r="AB50" s="52"/>
      <c r="AC50" s="52"/>
      <c r="AD50" s="52"/>
      <c r="AE50" s="52"/>
      <c r="AF50" s="52"/>
    </row>
    <row r="51" spans="1:32" ht="12.75">
      <c r="A51" s="81"/>
      <c r="B51" s="77" t="s">
        <v>57</v>
      </c>
      <c r="C51" s="77"/>
      <c r="D51" s="87" t="s">
        <v>82</v>
      </c>
      <c r="E51" s="174"/>
      <c r="F51" s="175"/>
      <c r="G51" s="175"/>
      <c r="H51" s="175"/>
      <c r="I51" s="175"/>
      <c r="J51" s="175"/>
      <c r="K51" s="177">
        <v>5885.18</v>
      </c>
      <c r="L51" s="177">
        <v>8881.11</v>
      </c>
      <c r="M51" s="177">
        <v>9601.2</v>
      </c>
      <c r="N51" s="177">
        <v>7947.66</v>
      </c>
      <c r="O51" s="177">
        <v>7040.88</v>
      </c>
      <c r="P51" s="177">
        <v>6311.9</v>
      </c>
      <c r="Q51" s="177">
        <v>6098.54</v>
      </c>
      <c r="R51" s="177">
        <v>5858.51</v>
      </c>
      <c r="S51" s="177">
        <v>9183.37</v>
      </c>
      <c r="T51" s="177">
        <v>9441.18</v>
      </c>
      <c r="U51" s="177">
        <v>8223.25</v>
      </c>
      <c r="V51" s="177">
        <v>4427.22</v>
      </c>
      <c r="W51" s="176"/>
      <c r="X51" s="179">
        <f t="shared" si="4"/>
        <v>88900</v>
      </c>
      <c r="Y51" s="178"/>
      <c r="Z51" s="52"/>
      <c r="AA51" s="52"/>
      <c r="AB51" s="52"/>
      <c r="AC51" s="52"/>
      <c r="AD51" s="52"/>
      <c r="AE51" s="52"/>
      <c r="AF51" s="52"/>
    </row>
    <row r="52" spans="1:32" ht="12.75">
      <c r="A52" s="79"/>
      <c r="B52" s="77" t="s">
        <v>65</v>
      </c>
      <c r="C52" s="77"/>
      <c r="D52" s="87" t="s">
        <v>83</v>
      </c>
      <c r="E52" s="174"/>
      <c r="F52" s="175"/>
      <c r="G52" s="175"/>
      <c r="H52" s="175"/>
      <c r="I52" s="175"/>
      <c r="J52" s="175"/>
      <c r="K52" s="177">
        <v>1585.1053779999997</v>
      </c>
      <c r="L52" s="177">
        <v>2392.024581</v>
      </c>
      <c r="M52" s="177">
        <v>2585.9725200000003</v>
      </c>
      <c r="N52" s="177">
        <v>2140.610586</v>
      </c>
      <c r="O52" s="177">
        <v>1896.3798479999998</v>
      </c>
      <c r="P52" s="177">
        <v>1700.0374899999997</v>
      </c>
      <c r="Q52" s="177">
        <v>1642.5714340000002</v>
      </c>
      <c r="R52" s="177">
        <v>1577.9221209999998</v>
      </c>
      <c r="S52" s="177">
        <v>2473.434827</v>
      </c>
      <c r="T52" s="177">
        <v>2542.8729779999994</v>
      </c>
      <c r="U52" s="177">
        <v>2214.837575</v>
      </c>
      <c r="V52" s="177">
        <v>1192.420662</v>
      </c>
      <c r="W52" s="178"/>
      <c r="X52" s="179">
        <f t="shared" si="4"/>
        <v>23944.19</v>
      </c>
      <c r="Y52" s="178"/>
      <c r="Z52" s="52"/>
      <c r="AA52" s="52"/>
      <c r="AB52" s="52"/>
      <c r="AC52" s="52"/>
      <c r="AD52" s="52"/>
      <c r="AE52" s="52"/>
      <c r="AF52" s="52"/>
    </row>
    <row r="53" spans="1:32" s="16" customFormat="1" ht="12.75">
      <c r="A53" s="83"/>
      <c r="B53" s="77" t="s">
        <v>57</v>
      </c>
      <c r="C53" s="77"/>
      <c r="D53" s="87" t="s">
        <v>67</v>
      </c>
      <c r="E53" s="174"/>
      <c r="F53" s="180"/>
      <c r="G53" s="180"/>
      <c r="H53" s="181"/>
      <c r="I53" s="181"/>
      <c r="J53" s="180"/>
      <c r="K53" s="177">
        <v>108029</v>
      </c>
      <c r="L53" s="177">
        <v>108029</v>
      </c>
      <c r="M53" s="177">
        <v>108029</v>
      </c>
      <c r="N53" s="177">
        <v>108029</v>
      </c>
      <c r="O53" s="177">
        <v>108029</v>
      </c>
      <c r="P53" s="177">
        <v>108029</v>
      </c>
      <c r="Q53" s="177">
        <v>108029</v>
      </c>
      <c r="R53" s="177">
        <v>108029</v>
      </c>
      <c r="S53" s="177">
        <v>108029</v>
      </c>
      <c r="T53" s="177">
        <v>108029</v>
      </c>
      <c r="U53" s="177">
        <v>108029</v>
      </c>
      <c r="V53" s="177">
        <v>108029</v>
      </c>
      <c r="W53" s="177"/>
      <c r="X53" s="179">
        <f t="shared" si="4"/>
        <v>1296348</v>
      </c>
      <c r="Y53" s="209"/>
      <c r="Z53" s="61"/>
      <c r="AA53" s="61"/>
      <c r="AB53" s="61"/>
      <c r="AC53" s="61"/>
      <c r="AD53" s="61"/>
      <c r="AE53" s="61"/>
      <c r="AF53" s="61"/>
    </row>
    <row r="54" spans="1:32" s="16" customFormat="1" ht="12.75">
      <c r="A54" s="83"/>
      <c r="B54" s="77" t="s">
        <v>65</v>
      </c>
      <c r="C54" s="77"/>
      <c r="D54" s="87" t="s">
        <v>70</v>
      </c>
      <c r="E54" s="174"/>
      <c r="F54" s="180"/>
      <c r="G54" s="175"/>
      <c r="H54" s="181"/>
      <c r="I54" s="181"/>
      <c r="J54" s="175"/>
      <c r="K54" s="177">
        <v>1666.6666666666667</v>
      </c>
      <c r="L54" s="177">
        <v>1666.6666666666667</v>
      </c>
      <c r="M54" s="177">
        <v>1666.6666666666667</v>
      </c>
      <c r="N54" s="177">
        <v>1666.6666666666667</v>
      </c>
      <c r="O54" s="177">
        <v>1666.6666666666667</v>
      </c>
      <c r="P54" s="177">
        <v>1666.6666666666667</v>
      </c>
      <c r="Q54" s="177">
        <v>1666.6666666666667</v>
      </c>
      <c r="R54" s="177">
        <v>1666.6666666666667</v>
      </c>
      <c r="S54" s="177">
        <v>1666.6666666666667</v>
      </c>
      <c r="T54" s="177">
        <v>1666.6666666666667</v>
      </c>
      <c r="U54" s="177">
        <v>1666.6666666666667</v>
      </c>
      <c r="V54" s="177">
        <v>1666.6666666666667</v>
      </c>
      <c r="W54" s="182"/>
      <c r="X54" s="179">
        <f t="shared" si="4"/>
        <v>20000</v>
      </c>
      <c r="Y54" s="209"/>
      <c r="Z54" s="61"/>
      <c r="AA54" s="61"/>
      <c r="AB54" s="61"/>
      <c r="AC54" s="61"/>
      <c r="AD54" s="61"/>
      <c r="AE54" s="61"/>
      <c r="AF54" s="61"/>
    </row>
    <row r="55" spans="1:32" ht="12.75">
      <c r="A55" s="81"/>
      <c r="B55" s="77" t="s">
        <v>65</v>
      </c>
      <c r="C55" s="77"/>
      <c r="D55" s="87" t="s">
        <v>71</v>
      </c>
      <c r="E55" s="174"/>
      <c r="F55" s="175"/>
      <c r="G55" s="175"/>
      <c r="H55" s="175"/>
      <c r="I55" s="175"/>
      <c r="J55" s="175"/>
      <c r="K55" s="177">
        <v>1666.6666666666667</v>
      </c>
      <c r="L55" s="177">
        <v>1666.6666666666667</v>
      </c>
      <c r="M55" s="177">
        <v>1666.6666666666667</v>
      </c>
      <c r="N55" s="177">
        <v>1666.6666666666667</v>
      </c>
      <c r="O55" s="177">
        <v>1666.6666666666667</v>
      </c>
      <c r="P55" s="177">
        <v>1666.6666666666667</v>
      </c>
      <c r="Q55" s="177">
        <v>1666.6666666666667</v>
      </c>
      <c r="R55" s="177">
        <v>1666.6666666666667</v>
      </c>
      <c r="S55" s="177">
        <v>1666.6666666666667</v>
      </c>
      <c r="T55" s="177">
        <v>1666.6666666666667</v>
      </c>
      <c r="U55" s="177">
        <v>1666.6666666666667</v>
      </c>
      <c r="V55" s="177">
        <v>1666.6666666666667</v>
      </c>
      <c r="W55" s="178"/>
      <c r="X55" s="179">
        <f t="shared" si="4"/>
        <v>20000</v>
      </c>
      <c r="Y55" s="178"/>
      <c r="Z55" s="52"/>
      <c r="AA55" s="52"/>
      <c r="AB55" s="52"/>
      <c r="AC55" s="52"/>
      <c r="AD55" s="52"/>
      <c r="AE55" s="52"/>
      <c r="AF55" s="52"/>
    </row>
    <row r="56" spans="1:32" ht="12.75">
      <c r="A56" s="81"/>
      <c r="B56" s="77" t="s">
        <v>57</v>
      </c>
      <c r="C56" s="77"/>
      <c r="D56" s="87" t="s">
        <v>72</v>
      </c>
      <c r="E56" s="174"/>
      <c r="F56" s="175"/>
      <c r="G56" s="175"/>
      <c r="H56" s="181"/>
      <c r="I56" s="181"/>
      <c r="J56" s="175"/>
      <c r="K56" s="177">
        <v>133709.666666666</v>
      </c>
      <c r="L56" s="177">
        <v>133709.666666666</v>
      </c>
      <c r="M56" s="177">
        <v>133709.666666666</v>
      </c>
      <c r="N56" s="177">
        <v>133709.666666666</v>
      </c>
      <c r="O56" s="177">
        <v>133709.666666666</v>
      </c>
      <c r="P56" s="177">
        <v>133709.666666666</v>
      </c>
      <c r="Q56" s="177">
        <v>133709.666666666</v>
      </c>
      <c r="R56" s="177">
        <v>133709.666666666</v>
      </c>
      <c r="S56" s="177">
        <v>133709.666666666</v>
      </c>
      <c r="T56" s="177">
        <v>133709.666666666</v>
      </c>
      <c r="U56" s="177">
        <v>133709.666666666</v>
      </c>
      <c r="V56" s="177">
        <v>133709.666666666</v>
      </c>
      <c r="W56" s="182"/>
      <c r="X56" s="179">
        <f t="shared" si="4"/>
        <v>1604515.9999999923</v>
      </c>
      <c r="Y56" s="178"/>
      <c r="Z56" s="52"/>
      <c r="AA56" s="52"/>
      <c r="AB56" s="52"/>
      <c r="AC56" s="52"/>
      <c r="AD56" s="52"/>
      <c r="AE56" s="52"/>
      <c r="AF56" s="52"/>
    </row>
    <row r="57" spans="1:32" ht="12.75">
      <c r="A57" s="81"/>
      <c r="B57" s="77" t="s">
        <v>57</v>
      </c>
      <c r="C57" s="77"/>
      <c r="D57" s="87" t="s">
        <v>73</v>
      </c>
      <c r="E57" s="174"/>
      <c r="F57" s="175"/>
      <c r="G57" s="175"/>
      <c r="H57" s="175"/>
      <c r="I57" s="175"/>
      <c r="J57" s="175"/>
      <c r="K57" s="177">
        <v>17876.916666666668</v>
      </c>
      <c r="L57" s="177">
        <v>17876.916666666668</v>
      </c>
      <c r="M57" s="177">
        <v>17876.916666666668</v>
      </c>
      <c r="N57" s="177">
        <v>17876.916666666668</v>
      </c>
      <c r="O57" s="177">
        <v>17876.916666666668</v>
      </c>
      <c r="P57" s="177">
        <v>17876.916666666668</v>
      </c>
      <c r="Q57" s="177">
        <v>17876.916666666668</v>
      </c>
      <c r="R57" s="177">
        <v>17876.916666666668</v>
      </c>
      <c r="S57" s="177">
        <v>17876.916666666668</v>
      </c>
      <c r="T57" s="177">
        <v>17876.916666666668</v>
      </c>
      <c r="U57" s="177">
        <v>17876.916666666668</v>
      </c>
      <c r="V57" s="177">
        <v>17876.916666666668</v>
      </c>
      <c r="W57" s="178"/>
      <c r="X57" s="179">
        <f t="shared" si="4"/>
        <v>214522.99999999997</v>
      </c>
      <c r="Y57" s="178"/>
      <c r="Z57" s="52"/>
      <c r="AA57" s="52"/>
      <c r="AB57" s="52"/>
      <c r="AC57" s="52"/>
      <c r="AD57" s="52"/>
      <c r="AE57" s="52"/>
      <c r="AF57" s="52"/>
    </row>
    <row r="58" spans="1:32" ht="12.75">
      <c r="A58" s="81"/>
      <c r="B58" s="77" t="s">
        <v>57</v>
      </c>
      <c r="C58" s="77"/>
      <c r="D58" s="87" t="s">
        <v>75</v>
      </c>
      <c r="E58" s="174"/>
      <c r="F58" s="175"/>
      <c r="G58" s="175"/>
      <c r="H58" s="175"/>
      <c r="I58" s="175"/>
      <c r="J58" s="175"/>
      <c r="K58" s="177">
        <v>138528.083333333</v>
      </c>
      <c r="L58" s="177">
        <v>138528.083333333</v>
      </c>
      <c r="M58" s="177">
        <v>138528.083333333</v>
      </c>
      <c r="N58" s="177">
        <v>138528.083333333</v>
      </c>
      <c r="O58" s="177">
        <v>138528.083333333</v>
      </c>
      <c r="P58" s="177">
        <v>138528.083333333</v>
      </c>
      <c r="Q58" s="177">
        <v>138528.083333333</v>
      </c>
      <c r="R58" s="177">
        <v>138528.083333333</v>
      </c>
      <c r="S58" s="177">
        <v>138528.083333333</v>
      </c>
      <c r="T58" s="177">
        <v>138528.083333333</v>
      </c>
      <c r="U58" s="177">
        <v>138528.083333333</v>
      </c>
      <c r="V58" s="177">
        <v>138528.083333333</v>
      </c>
      <c r="W58" s="178"/>
      <c r="X58" s="179">
        <f t="shared" si="4"/>
        <v>1662336.999999996</v>
      </c>
      <c r="Y58" s="178"/>
      <c r="Z58" s="52"/>
      <c r="AA58" s="52"/>
      <c r="AB58" s="52"/>
      <c r="AC58" s="52"/>
      <c r="AD58" s="52"/>
      <c r="AE58" s="52"/>
      <c r="AF58" s="52"/>
    </row>
    <row r="59" spans="1:32" ht="12.75">
      <c r="A59" s="81"/>
      <c r="B59" s="77" t="s">
        <v>65</v>
      </c>
      <c r="C59" s="77"/>
      <c r="D59" s="87" t="s">
        <v>76</v>
      </c>
      <c r="E59" s="174"/>
      <c r="F59" s="175"/>
      <c r="G59" s="175"/>
      <c r="H59" s="181"/>
      <c r="I59" s="181"/>
      <c r="J59" s="175"/>
      <c r="K59" s="177">
        <v>1666.6666666666667</v>
      </c>
      <c r="L59" s="177">
        <v>1666.6666666666667</v>
      </c>
      <c r="M59" s="177">
        <v>1666.6666666666667</v>
      </c>
      <c r="N59" s="177">
        <v>1666.6666666666667</v>
      </c>
      <c r="O59" s="177">
        <v>1666.6666666666667</v>
      </c>
      <c r="P59" s="177">
        <v>1666.6666666666667</v>
      </c>
      <c r="Q59" s="177">
        <v>1666.6666666666667</v>
      </c>
      <c r="R59" s="177">
        <v>1666.6666666666667</v>
      </c>
      <c r="S59" s="177">
        <v>1666.6666666666667</v>
      </c>
      <c r="T59" s="177">
        <v>1666.6666666666667</v>
      </c>
      <c r="U59" s="177">
        <v>1666.6666666666667</v>
      </c>
      <c r="V59" s="181">
        <v>1666.6666666666667</v>
      </c>
      <c r="W59" s="182"/>
      <c r="X59" s="179">
        <f t="shared" si="4"/>
        <v>20000</v>
      </c>
      <c r="Y59" s="178"/>
      <c r="Z59" s="52"/>
      <c r="AA59" s="52"/>
      <c r="AB59" s="52"/>
      <c r="AC59" s="52"/>
      <c r="AD59" s="52"/>
      <c r="AE59" s="52"/>
      <c r="AF59" s="52"/>
    </row>
    <row r="60" spans="1:32" ht="12.75">
      <c r="A60" s="81"/>
      <c r="B60" s="77" t="s">
        <v>57</v>
      </c>
      <c r="C60" s="77"/>
      <c r="D60" s="89" t="s">
        <v>59</v>
      </c>
      <c r="E60" s="174"/>
      <c r="F60" s="175"/>
      <c r="G60" s="175"/>
      <c r="H60" s="181"/>
      <c r="I60" s="181"/>
      <c r="J60" s="175"/>
      <c r="K60" s="177">
        <v>145.83333333333331</v>
      </c>
      <c r="L60" s="181">
        <v>145.83333333333331</v>
      </c>
      <c r="M60" s="181">
        <v>145.83333333333331</v>
      </c>
      <c r="N60" s="181">
        <v>145.83333333333331</v>
      </c>
      <c r="O60" s="181">
        <v>145.83333333333331</v>
      </c>
      <c r="P60" s="181">
        <v>145.83333333333331</v>
      </c>
      <c r="Q60" s="181">
        <v>145.83333333333331</v>
      </c>
      <c r="R60" s="181">
        <v>145.83333333333331</v>
      </c>
      <c r="S60" s="181">
        <v>145.83333333333331</v>
      </c>
      <c r="T60" s="181">
        <v>145.83333333333331</v>
      </c>
      <c r="U60" s="181">
        <v>145.83333333333331</v>
      </c>
      <c r="V60" s="181">
        <v>145.83333333333331</v>
      </c>
      <c r="W60" s="182"/>
      <c r="X60" s="179">
        <f t="shared" si="4"/>
        <v>1749.9999999999993</v>
      </c>
      <c r="Y60" s="178"/>
      <c r="Z60" s="52"/>
      <c r="AA60" s="52"/>
      <c r="AB60" s="52"/>
      <c r="AC60" s="52"/>
      <c r="AD60" s="52"/>
      <c r="AE60" s="52"/>
      <c r="AF60" s="52"/>
    </row>
    <row r="61" spans="1:32" ht="12.75">
      <c r="A61" s="81"/>
      <c r="B61" s="77" t="s">
        <v>57</v>
      </c>
      <c r="C61" s="77"/>
      <c r="D61" s="89" t="s">
        <v>61</v>
      </c>
      <c r="E61" s="174"/>
      <c r="F61" s="175"/>
      <c r="G61" s="180"/>
      <c r="H61" s="181"/>
      <c r="I61" s="181"/>
      <c r="J61" s="180"/>
      <c r="K61" s="177">
        <v>2324.860833333333</v>
      </c>
      <c r="L61" s="181">
        <v>2324.860833333333</v>
      </c>
      <c r="M61" s="181">
        <v>2324.860833333333</v>
      </c>
      <c r="N61" s="181">
        <v>2324.860833333333</v>
      </c>
      <c r="O61" s="181">
        <v>2324.860833333333</v>
      </c>
      <c r="P61" s="181">
        <v>2324.860833333333</v>
      </c>
      <c r="Q61" s="181">
        <v>2324.860833333333</v>
      </c>
      <c r="R61" s="181">
        <v>2324.860833333333</v>
      </c>
      <c r="S61" s="181">
        <v>2324.860833333333</v>
      </c>
      <c r="T61" s="181">
        <v>2324.860833333333</v>
      </c>
      <c r="U61" s="181">
        <v>2324.860833333333</v>
      </c>
      <c r="V61" s="181">
        <v>2324.860833333333</v>
      </c>
      <c r="W61" s="177"/>
      <c r="X61" s="179">
        <f t="shared" si="4"/>
        <v>27898.32999999999</v>
      </c>
      <c r="Y61" s="178"/>
      <c r="Z61" s="52"/>
      <c r="AA61" s="52"/>
      <c r="AB61" s="52"/>
      <c r="AC61" s="52"/>
      <c r="AD61" s="52"/>
      <c r="AE61" s="52"/>
      <c r="AF61" s="52"/>
    </row>
    <row r="62" spans="1:32" ht="12.75">
      <c r="A62" s="81"/>
      <c r="B62" s="77" t="s">
        <v>57</v>
      </c>
      <c r="C62" s="77"/>
      <c r="D62" s="89" t="s">
        <v>63</v>
      </c>
      <c r="E62" s="174"/>
      <c r="F62" s="175"/>
      <c r="G62" s="175"/>
      <c r="H62" s="181"/>
      <c r="I62" s="181"/>
      <c r="J62" s="175"/>
      <c r="K62" s="177">
        <v>4122.5</v>
      </c>
      <c r="L62" s="181">
        <v>4122.5</v>
      </c>
      <c r="M62" s="181">
        <v>4122.5</v>
      </c>
      <c r="N62" s="181">
        <v>4122.5</v>
      </c>
      <c r="O62" s="181">
        <v>4122.5</v>
      </c>
      <c r="P62" s="181">
        <v>4122.5</v>
      </c>
      <c r="Q62" s="181">
        <v>4122.5</v>
      </c>
      <c r="R62" s="181">
        <v>4122.5</v>
      </c>
      <c r="S62" s="181">
        <v>4122.5</v>
      </c>
      <c r="T62" s="181">
        <v>4122.5</v>
      </c>
      <c r="U62" s="181">
        <v>4122.5</v>
      </c>
      <c r="V62" s="181">
        <v>4122.5</v>
      </c>
      <c r="W62" s="182"/>
      <c r="X62" s="179">
        <f t="shared" si="4"/>
        <v>49470</v>
      </c>
      <c r="Y62" s="178"/>
      <c r="Z62" s="52"/>
      <c r="AA62" s="52"/>
      <c r="AB62" s="52"/>
      <c r="AC62" s="52"/>
      <c r="AD62" s="52"/>
      <c r="AE62" s="52"/>
      <c r="AF62" s="52"/>
    </row>
    <row r="63" spans="1:32" ht="12.75">
      <c r="A63" s="81"/>
      <c r="B63" s="77" t="s">
        <v>57</v>
      </c>
      <c r="C63" s="77"/>
      <c r="D63" s="89" t="s">
        <v>64</v>
      </c>
      <c r="E63" s="174"/>
      <c r="F63" s="175"/>
      <c r="G63" s="175"/>
      <c r="H63" s="181"/>
      <c r="I63" s="181"/>
      <c r="J63" s="175"/>
      <c r="K63" s="181">
        <v>120774.26</v>
      </c>
      <c r="L63" s="181">
        <v>120774.26</v>
      </c>
      <c r="M63" s="181">
        <v>120774.26</v>
      </c>
      <c r="N63" s="181">
        <v>120774.26</v>
      </c>
      <c r="O63" s="181">
        <v>120774.26</v>
      </c>
      <c r="P63" s="181">
        <v>120774.26</v>
      </c>
      <c r="Q63" s="181">
        <v>120774.26</v>
      </c>
      <c r="R63" s="181">
        <v>120774.26</v>
      </c>
      <c r="S63" s="181">
        <v>120774.26</v>
      </c>
      <c r="T63" s="181">
        <v>120774.26</v>
      </c>
      <c r="U63" s="181">
        <v>120774.26</v>
      </c>
      <c r="V63" s="181">
        <v>120774.26</v>
      </c>
      <c r="W63" s="182"/>
      <c r="X63" s="179">
        <f t="shared" si="4"/>
        <v>1449291.1199999999</v>
      </c>
      <c r="Y63" s="178"/>
      <c r="Z63" s="52"/>
      <c r="AA63" s="52"/>
      <c r="AB63" s="52"/>
      <c r="AC63" s="52"/>
      <c r="AD63" s="52"/>
      <c r="AE63" s="52"/>
      <c r="AF63" s="52"/>
    </row>
    <row r="64" spans="1:32" ht="12.75">
      <c r="A64" s="81"/>
      <c r="B64" s="77" t="s">
        <v>65</v>
      </c>
      <c r="C64" s="77"/>
      <c r="D64" s="89" t="s">
        <v>59</v>
      </c>
      <c r="E64" s="174"/>
      <c r="F64" s="175"/>
      <c r="G64" s="175"/>
      <c r="H64" s="181"/>
      <c r="I64" s="181"/>
      <c r="J64" s="175"/>
      <c r="K64" s="177">
        <v>437.5</v>
      </c>
      <c r="L64" s="181">
        <v>437.5</v>
      </c>
      <c r="M64" s="181">
        <v>437.5</v>
      </c>
      <c r="N64" s="181">
        <v>437.5</v>
      </c>
      <c r="O64" s="181">
        <v>437.5</v>
      </c>
      <c r="P64" s="181">
        <v>437.5</v>
      </c>
      <c r="Q64" s="181">
        <v>437.5</v>
      </c>
      <c r="R64" s="181">
        <v>437.5</v>
      </c>
      <c r="S64" s="181">
        <v>437.5</v>
      </c>
      <c r="T64" s="181">
        <v>437.5</v>
      </c>
      <c r="U64" s="181">
        <v>437.5</v>
      </c>
      <c r="V64" s="181">
        <v>437.5</v>
      </c>
      <c r="W64" s="183"/>
      <c r="X64" s="179">
        <f t="shared" si="4"/>
        <v>5250</v>
      </c>
      <c r="Y64" s="178"/>
      <c r="Z64" s="52"/>
      <c r="AA64" s="52"/>
      <c r="AB64" s="52"/>
      <c r="AC64" s="52"/>
      <c r="AD64" s="52"/>
      <c r="AE64" s="52"/>
      <c r="AF64" s="52"/>
    </row>
    <row r="65" spans="1:32" ht="12.75">
      <c r="A65" s="86"/>
      <c r="B65" s="77" t="s">
        <v>65</v>
      </c>
      <c r="C65" s="77"/>
      <c r="D65" s="89" t="s">
        <v>66</v>
      </c>
      <c r="E65" s="174"/>
      <c r="F65" s="175"/>
      <c r="G65" s="175"/>
      <c r="H65" s="175"/>
      <c r="I65" s="175"/>
      <c r="J65" s="175"/>
      <c r="K65" s="177">
        <v>2083.333333333333</v>
      </c>
      <c r="L65" s="181">
        <v>2083.333333333333</v>
      </c>
      <c r="M65" s="181">
        <v>2083.333333333333</v>
      </c>
      <c r="N65" s="181">
        <v>2083.333333333333</v>
      </c>
      <c r="O65" s="181">
        <v>2083.333333333333</v>
      </c>
      <c r="P65" s="181">
        <v>2083.333333333333</v>
      </c>
      <c r="Q65" s="181">
        <v>2083.333333333333</v>
      </c>
      <c r="R65" s="181">
        <v>2083.333333333333</v>
      </c>
      <c r="S65" s="181">
        <v>2083.333333333333</v>
      </c>
      <c r="T65" s="181">
        <v>2083.333333333333</v>
      </c>
      <c r="U65" s="181">
        <v>2083.333333333333</v>
      </c>
      <c r="V65" s="181">
        <v>2083.333333333333</v>
      </c>
      <c r="W65" s="178"/>
      <c r="X65" s="179">
        <f t="shared" si="4"/>
        <v>24999.99999999999</v>
      </c>
      <c r="Y65" s="178"/>
      <c r="Z65" s="52"/>
      <c r="AA65" s="52"/>
      <c r="AB65" s="52"/>
      <c r="AC65" s="52"/>
      <c r="AD65" s="52"/>
      <c r="AE65" s="52"/>
      <c r="AF65" s="52"/>
    </row>
    <row r="66" spans="1:32" ht="12.75">
      <c r="A66" s="81"/>
      <c r="B66" s="77" t="s">
        <v>65</v>
      </c>
      <c r="C66" s="77"/>
      <c r="D66" s="89" t="s">
        <v>63</v>
      </c>
      <c r="E66" s="174"/>
      <c r="F66" s="175"/>
      <c r="G66" s="180"/>
      <c r="H66" s="181"/>
      <c r="I66" s="181"/>
      <c r="J66" s="180"/>
      <c r="K66" s="177">
        <v>127.5</v>
      </c>
      <c r="L66" s="181">
        <v>127.5</v>
      </c>
      <c r="M66" s="181">
        <v>127.5</v>
      </c>
      <c r="N66" s="181">
        <v>127.5</v>
      </c>
      <c r="O66" s="181">
        <v>127.5</v>
      </c>
      <c r="P66" s="181">
        <v>127.5</v>
      </c>
      <c r="Q66" s="181">
        <v>127.5</v>
      </c>
      <c r="R66" s="181">
        <v>127.5</v>
      </c>
      <c r="S66" s="181">
        <v>127.5</v>
      </c>
      <c r="T66" s="181">
        <v>127.5</v>
      </c>
      <c r="U66" s="181">
        <v>127.5</v>
      </c>
      <c r="V66" s="181">
        <v>127.5</v>
      </c>
      <c r="W66" s="177"/>
      <c r="X66" s="179">
        <f t="shared" si="4"/>
        <v>1530</v>
      </c>
      <c r="Y66" s="178"/>
      <c r="Z66" s="52"/>
      <c r="AA66" s="52"/>
      <c r="AB66" s="52"/>
      <c r="AC66" s="52"/>
      <c r="AD66" s="52"/>
      <c r="AE66" s="52"/>
      <c r="AF66" s="52"/>
    </row>
    <row r="67" spans="1:32" s="16" customFormat="1" ht="12.75">
      <c r="A67" s="83"/>
      <c r="B67" s="77" t="s">
        <v>57</v>
      </c>
      <c r="C67" s="77"/>
      <c r="D67" s="87" t="s">
        <v>62</v>
      </c>
      <c r="E67" s="174"/>
      <c r="F67" s="180"/>
      <c r="G67" s="180"/>
      <c r="H67" s="181"/>
      <c r="I67" s="181"/>
      <c r="J67" s="180"/>
      <c r="K67" s="177">
        <v>0</v>
      </c>
      <c r="L67" s="181">
        <v>0</v>
      </c>
      <c r="M67" s="181">
        <v>0</v>
      </c>
      <c r="N67" s="181">
        <v>0</v>
      </c>
      <c r="O67" s="181">
        <v>0</v>
      </c>
      <c r="P67" s="181">
        <v>0</v>
      </c>
      <c r="Q67" s="181">
        <v>0</v>
      </c>
      <c r="R67" s="181">
        <v>0</v>
      </c>
      <c r="S67" s="181">
        <v>0</v>
      </c>
      <c r="T67" s="181">
        <v>0</v>
      </c>
      <c r="U67" s="181">
        <v>0</v>
      </c>
      <c r="V67" s="181">
        <v>40000</v>
      </c>
      <c r="W67" s="177"/>
      <c r="X67" s="179">
        <f t="shared" si="4"/>
        <v>40000</v>
      </c>
      <c r="Y67" s="209"/>
      <c r="Z67" s="61"/>
      <c r="AA67" s="61"/>
      <c r="AB67" s="61"/>
      <c r="AC67" s="61"/>
      <c r="AD67" s="61"/>
      <c r="AE67" s="61"/>
      <c r="AF67" s="61"/>
    </row>
    <row r="68" spans="1:32" s="16" customFormat="1" ht="12.75">
      <c r="A68" s="83"/>
      <c r="B68" s="77" t="s">
        <v>57</v>
      </c>
      <c r="C68" s="77"/>
      <c r="D68" s="89" t="s">
        <v>60</v>
      </c>
      <c r="E68" s="174"/>
      <c r="F68" s="180"/>
      <c r="G68" s="175"/>
      <c r="H68" s="181"/>
      <c r="I68" s="181"/>
      <c r="J68" s="175"/>
      <c r="K68" s="177">
        <v>0</v>
      </c>
      <c r="L68" s="181">
        <v>0</v>
      </c>
      <c r="M68" s="181">
        <v>0</v>
      </c>
      <c r="N68" s="181">
        <v>0</v>
      </c>
      <c r="O68" s="181">
        <v>0</v>
      </c>
      <c r="P68" s="181">
        <v>0</v>
      </c>
      <c r="Q68" s="181">
        <v>0</v>
      </c>
      <c r="R68" s="181">
        <v>18000</v>
      </c>
      <c r="S68" s="181">
        <v>0</v>
      </c>
      <c r="T68" s="181">
        <v>0</v>
      </c>
      <c r="U68" s="181">
        <v>0</v>
      </c>
      <c r="V68" s="181">
        <v>0</v>
      </c>
      <c r="W68" s="182"/>
      <c r="X68" s="179">
        <f t="shared" si="4"/>
        <v>18000</v>
      </c>
      <c r="Y68" s="209"/>
      <c r="Z68" s="61"/>
      <c r="AA68" s="61"/>
      <c r="AB68" s="61"/>
      <c r="AC68" s="61"/>
      <c r="AD68" s="61"/>
      <c r="AE68" s="61"/>
      <c r="AF68" s="61"/>
    </row>
    <row r="69" spans="1:32" s="16" customFormat="1" ht="12.75">
      <c r="A69" s="83"/>
      <c r="B69" s="77" t="s">
        <v>57</v>
      </c>
      <c r="C69" s="77"/>
      <c r="D69" s="87" t="s">
        <v>68</v>
      </c>
      <c r="E69" s="174"/>
      <c r="F69" s="180"/>
      <c r="G69" s="175"/>
      <c r="H69" s="181"/>
      <c r="I69" s="181"/>
      <c r="J69" s="175"/>
      <c r="K69" s="177">
        <v>0</v>
      </c>
      <c r="L69" s="177">
        <v>0</v>
      </c>
      <c r="M69" s="177" t="s">
        <v>69</v>
      </c>
      <c r="N69" s="177" t="s">
        <v>69</v>
      </c>
      <c r="O69" s="177" t="s">
        <v>69</v>
      </c>
      <c r="P69" s="177" t="s">
        <v>69</v>
      </c>
      <c r="Q69" s="177" t="s">
        <v>69</v>
      </c>
      <c r="R69" s="177">
        <v>265000</v>
      </c>
      <c r="S69" s="177">
        <v>265000</v>
      </c>
      <c r="T69" s="177">
        <v>0</v>
      </c>
      <c r="U69" s="177" t="s">
        <v>69</v>
      </c>
      <c r="V69" s="177" t="s">
        <v>69</v>
      </c>
      <c r="W69" s="182"/>
      <c r="X69" s="179">
        <f t="shared" si="4"/>
        <v>530000</v>
      </c>
      <c r="Y69" s="209"/>
      <c r="Z69" s="61"/>
      <c r="AA69" s="61"/>
      <c r="AB69" s="61"/>
      <c r="AC69" s="61"/>
      <c r="AD69" s="61"/>
      <c r="AE69" s="61"/>
      <c r="AF69" s="61"/>
    </row>
    <row r="70" spans="1:32" ht="12.75">
      <c r="A70" s="81"/>
      <c r="B70" s="77" t="s">
        <v>65</v>
      </c>
      <c r="C70" s="77"/>
      <c r="D70" s="87" t="s">
        <v>74</v>
      </c>
      <c r="E70" s="174"/>
      <c r="F70" s="175"/>
      <c r="G70" s="175"/>
      <c r="H70" s="175"/>
      <c r="I70" s="175"/>
      <c r="J70" s="175"/>
      <c r="K70" s="177">
        <v>10000</v>
      </c>
      <c r="L70" s="177">
        <v>10000</v>
      </c>
      <c r="M70" s="177">
        <v>10000</v>
      </c>
      <c r="N70" s="177">
        <v>10000</v>
      </c>
      <c r="O70" s="177">
        <v>0</v>
      </c>
      <c r="P70" s="177">
        <v>0</v>
      </c>
      <c r="Q70" s="177">
        <v>0</v>
      </c>
      <c r="R70" s="177">
        <v>0</v>
      </c>
      <c r="S70" s="177">
        <v>0</v>
      </c>
      <c r="T70" s="177">
        <v>10000</v>
      </c>
      <c r="U70" s="177">
        <v>0</v>
      </c>
      <c r="V70" s="177">
        <v>0</v>
      </c>
      <c r="W70" s="178"/>
      <c r="X70" s="179">
        <f t="shared" si="4"/>
        <v>50000</v>
      </c>
      <c r="Y70" s="178"/>
      <c r="Z70" s="52"/>
      <c r="AA70" s="52"/>
      <c r="AB70" s="52"/>
      <c r="AC70" s="52"/>
      <c r="AD70" s="52"/>
      <c r="AE70" s="52"/>
      <c r="AF70" s="52"/>
    </row>
    <row r="71" spans="1:28" s="150" customFormat="1" ht="12.75">
      <c r="A71" s="149"/>
      <c r="B71" s="25"/>
      <c r="C71" s="25"/>
      <c r="D71" s="65" t="s">
        <v>96</v>
      </c>
      <c r="E71" s="179"/>
      <c r="F71" s="184"/>
      <c r="G71" s="184"/>
      <c r="H71" s="185"/>
      <c r="I71" s="185"/>
      <c r="J71" s="184"/>
      <c r="K71" s="186">
        <f aca="true" t="shared" si="5" ref="K71:V71">SUM(K45:K70)</f>
        <v>559773.0061666657</v>
      </c>
      <c r="L71" s="186">
        <f t="shared" si="5"/>
        <v>568230.3581666657</v>
      </c>
      <c r="M71" s="186">
        <f t="shared" si="5"/>
        <v>570263.1341666657</v>
      </c>
      <c r="N71" s="186">
        <f t="shared" si="5"/>
        <v>565595.2781666657</v>
      </c>
      <c r="O71" s="186">
        <f t="shared" si="5"/>
        <v>553035.4861666657</v>
      </c>
      <c r="P71" s="186">
        <f t="shared" si="5"/>
        <v>550977.6141666657</v>
      </c>
      <c r="Q71" s="186">
        <f t="shared" si="5"/>
        <v>550375.3101666657</v>
      </c>
      <c r="R71" s="186">
        <f t="shared" si="5"/>
        <v>832697.7181666658</v>
      </c>
      <c r="S71" s="186">
        <f t="shared" si="5"/>
        <v>824083.6221666657</v>
      </c>
      <c r="T71" s="186">
        <f t="shared" si="5"/>
        <v>569811.4061666657</v>
      </c>
      <c r="U71" s="186">
        <f t="shared" si="5"/>
        <v>556373.2541666657</v>
      </c>
      <c r="V71" s="186">
        <f t="shared" si="5"/>
        <v>585657.2621666658</v>
      </c>
      <c r="W71" s="187"/>
      <c r="X71" s="179">
        <f t="shared" si="4"/>
        <v>7286873.449999989</v>
      </c>
      <c r="Y71" s="210"/>
      <c r="Z71" s="110"/>
      <c r="AA71" s="110"/>
      <c r="AB71" s="110"/>
    </row>
    <row r="72" spans="5:28" ht="12.75">
      <c r="E72" s="178"/>
      <c r="F72" s="178"/>
      <c r="G72" s="178"/>
      <c r="H72" s="178"/>
      <c r="I72" s="178"/>
      <c r="J72" s="178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</row>
    <row r="73" spans="11:28" ht="12.75"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</row>
    <row r="74" spans="11:28" ht="12.75"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</row>
    <row r="75" spans="11:28" ht="20.25">
      <c r="K75" s="203" t="s">
        <v>213</v>
      </c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</row>
    <row r="76" spans="11:28" ht="12.75"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</row>
    <row r="77" spans="11:28" ht="12.75"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</row>
    <row r="78" spans="11:28" ht="12.75"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</row>
  </sheetData>
  <printOptions/>
  <pageMargins left="0.75" right="0.75" top="1" bottom="1" header="0.5" footer="0.5"/>
  <pageSetup fitToHeight="1" fitToWidth="1" horizontalDpi="600" verticalDpi="600" orientation="landscape" paperSize="8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D44:D44"/>
  <sheetViews>
    <sheetView workbookViewId="0" topLeftCell="A1">
      <selection activeCell="M43" sqref="M43"/>
    </sheetView>
  </sheetViews>
  <sheetFormatPr defaultColWidth="9.140625" defaultRowHeight="12.75"/>
  <cols>
    <col min="1" max="16384" width="9.140625" style="38" customWidth="1"/>
  </cols>
  <sheetData>
    <row r="44" ht="12.75">
      <c r="D44" s="38" t="s">
        <v>214</v>
      </c>
    </row>
  </sheetData>
  <printOptions/>
  <pageMargins left="0.75" right="0.75" top="1" bottom="1" header="0.5" footer="0.5"/>
  <pageSetup fitToHeight="1" fitToWidth="1" horizontalDpi="600" verticalDpi="6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L63" sqref="L63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fitToHeight="1" fitToWidth="1" horizontalDpi="600" verticalDpi="6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45" sqref="N45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76"/>
  <sheetViews>
    <sheetView zoomScale="75" zoomScaleNormal="75" workbookViewId="0" topLeftCell="A1">
      <selection activeCell="C2" sqref="C2"/>
    </sheetView>
  </sheetViews>
  <sheetFormatPr defaultColWidth="9.140625" defaultRowHeight="12" customHeight="1"/>
  <cols>
    <col min="1" max="1" width="3.421875" style="10" customWidth="1"/>
    <col min="2" max="2" width="13.421875" style="10" customWidth="1"/>
    <col min="3" max="3" width="2.28125" style="10" customWidth="1"/>
    <col min="4" max="4" width="66.57421875" style="10" customWidth="1"/>
    <col min="5" max="5" width="3.421875" style="10" customWidth="1"/>
    <col min="6" max="16384" width="9.140625" style="10" customWidth="1"/>
  </cols>
  <sheetData>
    <row r="2" spans="3:29" ht="18">
      <c r="C2" s="144" t="s">
        <v>204</v>
      </c>
      <c r="F2" s="13" t="s">
        <v>0</v>
      </c>
      <c r="G2" s="13" t="s">
        <v>0</v>
      </c>
      <c r="H2" s="13" t="s">
        <v>0</v>
      </c>
      <c r="I2" s="13" t="s">
        <v>0</v>
      </c>
      <c r="J2" s="13" t="s">
        <v>0</v>
      </c>
      <c r="K2" s="13" t="s">
        <v>0</v>
      </c>
      <c r="L2" s="13" t="s">
        <v>0</v>
      </c>
      <c r="M2" s="13" t="s">
        <v>0</v>
      </c>
      <c r="N2" s="13" t="s">
        <v>0</v>
      </c>
      <c r="O2" s="13" t="s">
        <v>0</v>
      </c>
      <c r="P2" s="13" t="s">
        <v>0</v>
      </c>
      <c r="Q2" s="13" t="s">
        <v>0</v>
      </c>
      <c r="R2" s="13" t="s">
        <v>0</v>
      </c>
      <c r="S2" s="13" t="s">
        <v>0</v>
      </c>
      <c r="T2" s="13" t="s">
        <v>0</v>
      </c>
      <c r="U2" s="13" t="s">
        <v>0</v>
      </c>
      <c r="V2" s="13" t="s">
        <v>0</v>
      </c>
      <c r="W2" s="13" t="s">
        <v>0</v>
      </c>
      <c r="X2" s="13" t="s">
        <v>0</v>
      </c>
      <c r="Y2" s="13" t="s">
        <v>0</v>
      </c>
      <c r="Z2" s="13" t="s">
        <v>0</v>
      </c>
      <c r="AA2" s="13" t="s">
        <v>0</v>
      </c>
      <c r="AB2" s="13" t="s">
        <v>0</v>
      </c>
      <c r="AC2" s="13" t="s">
        <v>0</v>
      </c>
    </row>
    <row r="3" spans="6:29" ht="12.75">
      <c r="F3" s="13" t="s">
        <v>1</v>
      </c>
      <c r="G3" s="13" t="s">
        <v>1</v>
      </c>
      <c r="H3" s="13" t="s">
        <v>2</v>
      </c>
      <c r="I3" s="13" t="s">
        <v>2</v>
      </c>
      <c r="J3" s="13" t="s">
        <v>3</v>
      </c>
      <c r="K3" s="13" t="s">
        <v>3</v>
      </c>
      <c r="L3" s="13" t="s">
        <v>4</v>
      </c>
      <c r="M3" s="13" t="s">
        <v>4</v>
      </c>
      <c r="N3" s="13" t="s">
        <v>5</v>
      </c>
      <c r="O3" s="13" t="s">
        <v>5</v>
      </c>
      <c r="P3" s="13" t="s">
        <v>6</v>
      </c>
      <c r="Q3" s="13" t="s">
        <v>6</v>
      </c>
      <c r="R3" s="13" t="s">
        <v>7</v>
      </c>
      <c r="S3" s="13" t="s">
        <v>7</v>
      </c>
      <c r="T3" s="13" t="s">
        <v>8</v>
      </c>
      <c r="U3" s="13" t="s">
        <v>8</v>
      </c>
      <c r="V3" s="13" t="s">
        <v>9</v>
      </c>
      <c r="W3" s="13" t="s">
        <v>9</v>
      </c>
      <c r="X3" s="13" t="s">
        <v>10</v>
      </c>
      <c r="Y3" s="13" t="s">
        <v>10</v>
      </c>
      <c r="Z3" s="13" t="s">
        <v>11</v>
      </c>
      <c r="AA3" s="13" t="s">
        <v>11</v>
      </c>
      <c r="AB3" s="13" t="s">
        <v>12</v>
      </c>
      <c r="AC3" s="13" t="s">
        <v>12</v>
      </c>
    </row>
    <row r="4" spans="6:29" ht="12" customHeight="1">
      <c r="F4" s="12" t="s">
        <v>190</v>
      </c>
      <c r="G4" s="12" t="s">
        <v>191</v>
      </c>
      <c r="H4" s="12" t="s">
        <v>190</v>
      </c>
      <c r="I4" s="12" t="s">
        <v>191</v>
      </c>
      <c r="J4" s="12" t="s">
        <v>190</v>
      </c>
      <c r="K4" s="12" t="s">
        <v>191</v>
      </c>
      <c r="L4" s="12" t="s">
        <v>190</v>
      </c>
      <c r="M4" s="12" t="s">
        <v>191</v>
      </c>
      <c r="N4" s="12" t="s">
        <v>190</v>
      </c>
      <c r="O4" s="12" t="s">
        <v>191</v>
      </c>
      <c r="P4" s="12" t="s">
        <v>190</v>
      </c>
      <c r="Q4" s="12" t="s">
        <v>191</v>
      </c>
      <c r="R4" s="12" t="s">
        <v>190</v>
      </c>
      <c r="S4" s="12" t="s">
        <v>191</v>
      </c>
      <c r="T4" s="12" t="s">
        <v>190</v>
      </c>
      <c r="U4" s="12" t="s">
        <v>191</v>
      </c>
      <c r="V4" s="12" t="s">
        <v>190</v>
      </c>
      <c r="W4" s="12" t="s">
        <v>191</v>
      </c>
      <c r="X4" s="12" t="s">
        <v>190</v>
      </c>
      <c r="Y4" s="12" t="s">
        <v>191</v>
      </c>
      <c r="Z4" s="12" t="s">
        <v>190</v>
      </c>
      <c r="AA4" s="12" t="s">
        <v>191</v>
      </c>
      <c r="AB4" s="12" t="s">
        <v>190</v>
      </c>
      <c r="AC4" s="12" t="s">
        <v>191</v>
      </c>
    </row>
    <row r="5" ht="15" customHeight="1">
      <c r="C5" s="144" t="s">
        <v>146</v>
      </c>
    </row>
    <row r="6" spans="1:28" ht="12.75">
      <c r="A6" s="23"/>
      <c r="B6" s="24"/>
      <c r="C6" s="24"/>
      <c r="D6" s="48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ht="12.75">
      <c r="D7" s="45"/>
    </row>
    <row r="8" spans="1:29" s="16" customFormat="1" ht="12.75">
      <c r="A8" s="10"/>
      <c r="B8" s="10"/>
      <c r="C8" s="125"/>
      <c r="D8" s="16" t="s">
        <v>187</v>
      </c>
      <c r="F8" s="104">
        <v>200</v>
      </c>
      <c r="G8" s="104">
        <v>399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</row>
    <row r="9" spans="3:29" ht="12.75">
      <c r="C9" s="125"/>
      <c r="D9" s="45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43"/>
    </row>
    <row r="10" spans="1:29" s="16" customFormat="1" ht="12.75">
      <c r="A10" s="10"/>
      <c r="B10" s="10"/>
      <c r="C10" s="125"/>
      <c r="D10" s="16" t="s">
        <v>188</v>
      </c>
      <c r="F10" s="104">
        <v>284</v>
      </c>
      <c r="G10" s="104">
        <v>123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</row>
    <row r="11" spans="3:29" ht="12.75">
      <c r="C11" s="125"/>
      <c r="D11" s="45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43"/>
    </row>
    <row r="12" spans="1:29" s="16" customFormat="1" ht="12.75">
      <c r="A12" s="10"/>
      <c r="B12" s="10"/>
      <c r="C12" s="125"/>
      <c r="D12" s="68" t="s">
        <v>189</v>
      </c>
      <c r="F12" s="104">
        <v>80</v>
      </c>
      <c r="G12" s="104">
        <v>143</v>
      </c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</row>
    <row r="13" spans="3:29" ht="12.75">
      <c r="C13" s="125"/>
      <c r="D13" s="45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43"/>
    </row>
    <row r="14" spans="3:29" s="158" customFormat="1" ht="12.75">
      <c r="C14" s="165"/>
      <c r="D14" s="161" t="s">
        <v>147</v>
      </c>
      <c r="F14" s="171">
        <v>2.38</v>
      </c>
      <c r="G14" s="170"/>
      <c r="H14" s="166"/>
      <c r="I14" s="170"/>
      <c r="J14" s="166"/>
      <c r="K14" s="170"/>
      <c r="L14" s="171"/>
      <c r="M14" s="170"/>
      <c r="N14" s="166"/>
      <c r="O14" s="170"/>
      <c r="P14" s="166"/>
      <c r="Q14" s="170"/>
      <c r="R14" s="171"/>
      <c r="S14" s="170"/>
      <c r="T14" s="166"/>
      <c r="U14" s="170"/>
      <c r="V14" s="166"/>
      <c r="W14" s="170"/>
      <c r="X14" s="171"/>
      <c r="Y14" s="170"/>
      <c r="Z14" s="166"/>
      <c r="AA14" s="170"/>
      <c r="AB14" s="166"/>
      <c r="AC14" s="166"/>
    </row>
    <row r="15" spans="1:29" s="16" customFormat="1" ht="12.75">
      <c r="A15" s="10"/>
      <c r="B15" s="10"/>
      <c r="C15" s="125"/>
      <c r="D15" s="68" t="s">
        <v>85</v>
      </c>
      <c r="F15" s="104">
        <v>937</v>
      </c>
      <c r="G15" s="168"/>
      <c r="H15" s="104"/>
      <c r="I15" s="168"/>
      <c r="J15" s="104"/>
      <c r="K15" s="168"/>
      <c r="L15" s="104"/>
      <c r="M15" s="168"/>
      <c r="N15" s="104"/>
      <c r="O15" s="168"/>
      <c r="P15" s="104"/>
      <c r="Q15" s="168"/>
      <c r="R15" s="104"/>
      <c r="S15" s="168"/>
      <c r="T15" s="104"/>
      <c r="U15" s="168"/>
      <c r="V15" s="104"/>
      <c r="W15" s="168"/>
      <c r="X15" s="104"/>
      <c r="Y15" s="168"/>
      <c r="Z15" s="104"/>
      <c r="AA15" s="168"/>
      <c r="AB15" s="104"/>
      <c r="AC15" s="49"/>
    </row>
    <row r="16" spans="1:29" s="16" customFormat="1" ht="12.75">
      <c r="A16" s="10"/>
      <c r="B16" s="10"/>
      <c r="C16" s="125"/>
      <c r="D16" s="68" t="s">
        <v>181</v>
      </c>
      <c r="F16" s="104">
        <f>$F14*F15</f>
        <v>2230.06</v>
      </c>
      <c r="G16" s="104">
        <v>2230</v>
      </c>
      <c r="H16" s="104">
        <f>$F14*H15</f>
        <v>0</v>
      </c>
      <c r="I16" s="104"/>
      <c r="J16" s="104">
        <f>$F14*J15</f>
        <v>0</v>
      </c>
      <c r="K16" s="104"/>
      <c r="L16" s="104">
        <f>$L14*L15</f>
        <v>0</v>
      </c>
      <c r="M16" s="104"/>
      <c r="N16" s="104">
        <f>$L14*N15</f>
        <v>0</v>
      </c>
      <c r="O16" s="104"/>
      <c r="P16" s="104">
        <f>$L14*P15</f>
        <v>0</v>
      </c>
      <c r="Q16" s="104"/>
      <c r="R16" s="104">
        <f>$R14*R15</f>
        <v>0</v>
      </c>
      <c r="S16" s="104"/>
      <c r="T16" s="104">
        <f>$R14*T15</f>
        <v>0</v>
      </c>
      <c r="U16" s="104"/>
      <c r="V16" s="104">
        <f>$R14*V15</f>
        <v>0</v>
      </c>
      <c r="W16" s="104"/>
      <c r="X16" s="104">
        <f>$X14*X15</f>
        <v>0</v>
      </c>
      <c r="Y16" s="104"/>
      <c r="Z16" s="104">
        <f>$X14*Z15</f>
        <v>0</v>
      </c>
      <c r="AA16" s="104"/>
      <c r="AB16" s="104">
        <f>$X14*AB15</f>
        <v>0</v>
      </c>
      <c r="AC16" s="104"/>
    </row>
    <row r="17" spans="2:32" ht="12.75">
      <c r="B17" s="16"/>
      <c r="D17" s="45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49"/>
      <c r="AD17" s="16"/>
      <c r="AE17" s="16"/>
      <c r="AF17" s="16"/>
    </row>
    <row r="18" spans="2:32" ht="12.75">
      <c r="B18" s="91"/>
      <c r="C18" s="126"/>
      <c r="D18" s="45" t="s">
        <v>182</v>
      </c>
      <c r="F18" s="104">
        <v>178</v>
      </c>
      <c r="G18" s="104">
        <v>301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6"/>
      <c r="AE18" s="16"/>
      <c r="AF18" s="16"/>
    </row>
    <row r="19" spans="1:29" s="16" customFormat="1" ht="12.75">
      <c r="A19" s="10"/>
      <c r="C19" s="72"/>
      <c r="D19" s="4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49"/>
    </row>
    <row r="20" spans="1:29" s="16" customFormat="1" ht="12.75">
      <c r="A20" s="10"/>
      <c r="B20" s="91"/>
      <c r="C20" s="126"/>
      <c r="D20" s="68" t="s">
        <v>183</v>
      </c>
      <c r="F20" s="104">
        <v>48</v>
      </c>
      <c r="G20" s="104">
        <v>59</v>
      </c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</row>
    <row r="21" spans="1:29" s="16" customFormat="1" ht="12.75">
      <c r="A21" s="10"/>
      <c r="C21" s="72"/>
      <c r="D21" s="4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49"/>
    </row>
    <row r="22" spans="1:29" s="16" customFormat="1" ht="12.75">
      <c r="A22" s="10"/>
      <c r="B22" s="91"/>
      <c r="C22" s="126"/>
      <c r="D22" s="68" t="s">
        <v>184</v>
      </c>
      <c r="F22" s="104">
        <v>0</v>
      </c>
      <c r="G22" s="104">
        <v>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</row>
    <row r="23" spans="3:29" s="16" customFormat="1" ht="12.75">
      <c r="C23" s="72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49"/>
    </row>
    <row r="24" spans="1:29" s="16" customFormat="1" ht="12.75">
      <c r="A24" s="10"/>
      <c r="B24" s="91"/>
      <c r="C24" s="126"/>
      <c r="D24" s="45" t="s">
        <v>185</v>
      </c>
      <c r="F24" s="104">
        <v>22</v>
      </c>
      <c r="G24" s="104">
        <v>74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</row>
    <row r="25" spans="2:32" ht="12.75">
      <c r="B25" s="16"/>
      <c r="C25" s="127"/>
      <c r="D25" s="45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49"/>
      <c r="AD25" s="16"/>
      <c r="AE25" s="16"/>
      <c r="AF25" s="16"/>
    </row>
    <row r="26" spans="1:29" s="16" customFormat="1" ht="12.75">
      <c r="A26" s="10"/>
      <c r="C26" s="72"/>
      <c r="D26" s="45" t="s">
        <v>186</v>
      </c>
      <c r="F26" s="104">
        <v>80</v>
      </c>
      <c r="G26" s="104">
        <v>143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</row>
    <row r="27" spans="2:29" ht="12.75">
      <c r="B27" s="16"/>
      <c r="C27" s="127"/>
      <c r="D27" s="45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43"/>
    </row>
    <row r="28" spans="2:29" s="158" customFormat="1" ht="12.75">
      <c r="B28" s="159"/>
      <c r="C28" s="164"/>
      <c r="D28" s="161" t="s">
        <v>147</v>
      </c>
      <c r="F28" s="171"/>
      <c r="G28" s="170"/>
      <c r="H28" s="166"/>
      <c r="I28" s="170"/>
      <c r="J28" s="166"/>
      <c r="K28" s="170"/>
      <c r="L28" s="171"/>
      <c r="M28" s="170"/>
      <c r="N28" s="166"/>
      <c r="O28" s="170"/>
      <c r="P28" s="166"/>
      <c r="Q28" s="170"/>
      <c r="R28" s="171"/>
      <c r="S28" s="170"/>
      <c r="T28" s="166"/>
      <c r="U28" s="170"/>
      <c r="V28" s="166"/>
      <c r="W28" s="170"/>
      <c r="X28" s="171"/>
      <c r="Y28" s="170"/>
      <c r="Z28" s="166"/>
      <c r="AA28" s="170"/>
      <c r="AB28" s="166"/>
      <c r="AC28" s="170"/>
    </row>
    <row r="29" spans="1:29" s="16" customFormat="1" ht="12.75">
      <c r="A29" s="10"/>
      <c r="C29" s="72"/>
      <c r="D29" s="68" t="s">
        <v>86</v>
      </c>
      <c r="F29" s="104"/>
      <c r="G29" s="168"/>
      <c r="H29" s="104"/>
      <c r="I29" s="168"/>
      <c r="J29" s="104"/>
      <c r="K29" s="168"/>
      <c r="L29" s="104"/>
      <c r="M29" s="168"/>
      <c r="N29" s="104"/>
      <c r="O29" s="168"/>
      <c r="P29" s="104"/>
      <c r="Q29" s="168"/>
      <c r="R29" s="104"/>
      <c r="S29" s="168"/>
      <c r="T29" s="104"/>
      <c r="U29" s="168"/>
      <c r="V29" s="104"/>
      <c r="W29" s="168"/>
      <c r="X29" s="104"/>
      <c r="Y29" s="168"/>
      <c r="Z29" s="104"/>
      <c r="AA29" s="168"/>
      <c r="AB29" s="104"/>
      <c r="AC29" s="168"/>
    </row>
    <row r="30" spans="1:29" s="16" customFormat="1" ht="12.75">
      <c r="A30" s="10"/>
      <c r="C30" s="72"/>
      <c r="D30" s="68" t="s">
        <v>180</v>
      </c>
      <c r="F30" s="104">
        <f>$F28*F29</f>
        <v>0</v>
      </c>
      <c r="G30" s="104"/>
      <c r="H30" s="104">
        <f>$F28*H29</f>
        <v>0</v>
      </c>
      <c r="I30" s="104"/>
      <c r="J30" s="104">
        <f>$F28*J29</f>
        <v>0</v>
      </c>
      <c r="K30" s="104"/>
      <c r="L30" s="104">
        <f>$L28*L29</f>
        <v>0</v>
      </c>
      <c r="M30" s="104"/>
      <c r="N30" s="104">
        <f>$L28*N29</f>
        <v>0</v>
      </c>
      <c r="O30" s="104"/>
      <c r="P30" s="104">
        <f>$L28*P29</f>
        <v>0</v>
      </c>
      <c r="Q30" s="104"/>
      <c r="R30" s="104">
        <f>$R28*R29</f>
        <v>0</v>
      </c>
      <c r="S30" s="104"/>
      <c r="T30" s="104">
        <f>$R28*T29</f>
        <v>0</v>
      </c>
      <c r="U30" s="104"/>
      <c r="V30" s="104">
        <f>$R28*V29</f>
        <v>0</v>
      </c>
      <c r="W30" s="104"/>
      <c r="X30" s="104">
        <f>$X28*X29</f>
        <v>0</v>
      </c>
      <c r="Y30" s="104"/>
      <c r="Z30" s="104">
        <f>$X28*Z29</f>
        <v>0</v>
      </c>
      <c r="AA30" s="104"/>
      <c r="AB30" s="104">
        <f>$X28*AB29</f>
        <v>0</v>
      </c>
      <c r="AC30" s="104"/>
    </row>
    <row r="31" spans="2:30" ht="12.75">
      <c r="B31" s="16"/>
      <c r="D31" s="45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43"/>
      <c r="AD31" s="16"/>
    </row>
    <row r="32" spans="2:30" ht="12.75">
      <c r="B32" s="91"/>
      <c r="C32" s="128"/>
      <c r="D32" s="45" t="s">
        <v>179</v>
      </c>
      <c r="F32" s="104">
        <v>192</v>
      </c>
      <c r="G32" s="104">
        <v>207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6"/>
    </row>
    <row r="33" spans="2:30" ht="12.75">
      <c r="B33" s="16"/>
      <c r="C33" s="32"/>
      <c r="D33" s="45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43"/>
      <c r="AD33" s="16"/>
    </row>
    <row r="34" spans="1:29" s="16" customFormat="1" ht="16.5" customHeight="1">
      <c r="A34" s="10"/>
      <c r="B34" s="91"/>
      <c r="C34" s="128"/>
      <c r="D34" s="16" t="s">
        <v>178</v>
      </c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</row>
    <row r="35" spans="2:30" ht="12.75">
      <c r="B35" s="16"/>
      <c r="C35" s="32"/>
      <c r="D35" s="45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43"/>
      <c r="AD35" s="16"/>
    </row>
    <row r="36" spans="2:30" ht="12.75">
      <c r="B36" s="91"/>
      <c r="C36" s="128"/>
      <c r="D36" s="45" t="s">
        <v>177</v>
      </c>
      <c r="F36" s="104">
        <v>45</v>
      </c>
      <c r="G36" s="104">
        <v>31</v>
      </c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6"/>
    </row>
    <row r="37" spans="2:30" ht="12.75">
      <c r="B37" s="16"/>
      <c r="D37" s="45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43"/>
      <c r="AD37" s="16"/>
    </row>
    <row r="38" spans="1:29" s="16" customFormat="1" ht="12.75">
      <c r="A38" s="10"/>
      <c r="B38" s="91"/>
      <c r="C38" s="129"/>
      <c r="D38" s="16" t="s">
        <v>176</v>
      </c>
      <c r="F38" s="104">
        <v>34</v>
      </c>
      <c r="G38" s="104">
        <v>25</v>
      </c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</row>
    <row r="39" spans="2:30" ht="12.75">
      <c r="B39" s="16"/>
      <c r="C39" s="130"/>
      <c r="D39" s="45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43"/>
      <c r="AD39" s="16"/>
    </row>
    <row r="40" spans="1:29" s="16" customFormat="1" ht="12.75">
      <c r="A40" s="10"/>
      <c r="C40" s="73"/>
      <c r="D40" s="16" t="s">
        <v>175</v>
      </c>
      <c r="F40" s="104">
        <v>100</v>
      </c>
      <c r="G40" s="104">
        <v>82</v>
      </c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</row>
    <row r="41" spans="2:30" ht="12.75">
      <c r="B41" s="16"/>
      <c r="C41" s="130"/>
      <c r="D41" s="45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43"/>
      <c r="AD41" s="16"/>
    </row>
    <row r="42" spans="1:29" s="16" customFormat="1" ht="12.75">
      <c r="A42" s="10"/>
      <c r="B42" s="91"/>
      <c r="C42" s="129"/>
      <c r="D42" s="68" t="s">
        <v>174</v>
      </c>
      <c r="F42" s="104">
        <v>0</v>
      </c>
      <c r="G42" s="104">
        <v>0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</row>
    <row r="43" spans="2:30" ht="12.75">
      <c r="B43" s="16"/>
      <c r="D43" s="45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Z43" s="99"/>
      <c r="AA43" s="99"/>
      <c r="AB43" s="99"/>
      <c r="AC43" s="43"/>
      <c r="AD43" s="16"/>
    </row>
    <row r="44" spans="1:29" s="16" customFormat="1" ht="12.75">
      <c r="A44" s="10"/>
      <c r="C44" s="36"/>
      <c r="D44" s="68" t="s">
        <v>88</v>
      </c>
      <c r="F44" s="104">
        <v>14</v>
      </c>
      <c r="G44" s="104">
        <v>16</v>
      </c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</row>
    <row r="45" spans="1:29" s="16" customFormat="1" ht="12.75">
      <c r="A45" s="10"/>
      <c r="C45" s="36"/>
      <c r="D45" s="131" t="s">
        <v>87</v>
      </c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49"/>
    </row>
    <row r="46" spans="2:30" s="158" customFormat="1" ht="12.75">
      <c r="B46" s="159"/>
      <c r="C46" s="160"/>
      <c r="D46" s="161" t="s">
        <v>147</v>
      </c>
      <c r="F46" s="171">
        <v>2.38</v>
      </c>
      <c r="G46" s="170"/>
      <c r="H46" s="166"/>
      <c r="I46" s="170"/>
      <c r="J46" s="166"/>
      <c r="K46" s="170"/>
      <c r="L46" s="171"/>
      <c r="M46" s="170"/>
      <c r="N46" s="166"/>
      <c r="O46" s="170"/>
      <c r="P46" s="166"/>
      <c r="Q46" s="170"/>
      <c r="R46" s="171"/>
      <c r="S46" s="170"/>
      <c r="T46" s="166"/>
      <c r="U46" s="170"/>
      <c r="V46" s="166"/>
      <c r="W46" s="170"/>
      <c r="X46" s="171"/>
      <c r="Y46" s="170"/>
      <c r="Z46" s="166"/>
      <c r="AA46" s="170"/>
      <c r="AB46" s="166"/>
      <c r="AC46" s="166"/>
      <c r="AD46" s="159"/>
    </row>
    <row r="47" spans="1:29" s="16" customFormat="1" ht="12.75">
      <c r="A47" s="10"/>
      <c r="C47" s="36"/>
      <c r="D47" s="68" t="s">
        <v>89</v>
      </c>
      <c r="F47" s="104">
        <v>937</v>
      </c>
      <c r="G47" s="168"/>
      <c r="H47" s="104"/>
      <c r="I47" s="168"/>
      <c r="J47" s="104"/>
      <c r="K47" s="168"/>
      <c r="L47" s="104"/>
      <c r="M47" s="168"/>
      <c r="N47" s="104"/>
      <c r="O47" s="168"/>
      <c r="P47" s="104"/>
      <c r="Q47" s="168"/>
      <c r="R47" s="104"/>
      <c r="S47" s="168"/>
      <c r="T47" s="104"/>
      <c r="U47" s="168"/>
      <c r="V47" s="104"/>
      <c r="W47" s="168"/>
      <c r="X47" s="104"/>
      <c r="Y47" s="168"/>
      <c r="Z47" s="104"/>
      <c r="AA47" s="168"/>
      <c r="AB47" s="104"/>
      <c r="AC47" s="49"/>
    </row>
    <row r="48" spans="1:29" s="16" customFormat="1" ht="12.75">
      <c r="A48" s="10"/>
      <c r="C48" s="36"/>
      <c r="D48" s="68" t="s">
        <v>173</v>
      </c>
      <c r="F48" s="104">
        <f>$F46*F47</f>
        <v>2230.06</v>
      </c>
      <c r="G48" s="104">
        <v>2230</v>
      </c>
      <c r="H48" s="104">
        <f>$F46*H47</f>
        <v>0</v>
      </c>
      <c r="I48" s="104"/>
      <c r="J48" s="104">
        <f>$F46*J47</f>
        <v>0</v>
      </c>
      <c r="K48" s="104"/>
      <c r="L48" s="104">
        <f>$L46*L47</f>
        <v>0</v>
      </c>
      <c r="M48" s="104"/>
      <c r="N48" s="104">
        <f>$L46*N47</f>
        <v>0</v>
      </c>
      <c r="O48" s="104"/>
      <c r="P48" s="104">
        <f>$L46*P47</f>
        <v>0</v>
      </c>
      <c r="Q48" s="104"/>
      <c r="R48" s="104">
        <f>$R46*R47</f>
        <v>0</v>
      </c>
      <c r="S48" s="104"/>
      <c r="T48" s="104">
        <f>$R46*T47</f>
        <v>0</v>
      </c>
      <c r="U48" s="104"/>
      <c r="V48" s="104">
        <f>$R46*V47</f>
        <v>0</v>
      </c>
      <c r="W48" s="104"/>
      <c r="X48" s="104">
        <f>$X46*X47</f>
        <v>0</v>
      </c>
      <c r="Y48" s="104"/>
      <c r="Z48" s="104">
        <f>$X46*Z47</f>
        <v>0</v>
      </c>
      <c r="AA48" s="104"/>
      <c r="AB48" s="104">
        <f>$X46*AB47</f>
        <v>0</v>
      </c>
      <c r="AC48" s="169"/>
    </row>
    <row r="49" spans="4:29" s="16" customFormat="1" ht="15" customHeight="1">
      <c r="D49" s="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49"/>
    </row>
    <row r="50" spans="1:29" s="16" customFormat="1" ht="12.75">
      <c r="A50" s="10"/>
      <c r="B50" s="16" t="s">
        <v>93</v>
      </c>
      <c r="C50" s="132"/>
      <c r="D50" s="68" t="s">
        <v>172</v>
      </c>
      <c r="F50" s="104">
        <v>134</v>
      </c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</row>
    <row r="51" spans="3:30" ht="12.75">
      <c r="C51" s="134"/>
      <c r="D51" s="45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43"/>
      <c r="AD51" s="16"/>
    </row>
    <row r="52" spans="1:29" s="16" customFormat="1" ht="12.75">
      <c r="A52" s="10"/>
      <c r="B52" s="16" t="s">
        <v>93</v>
      </c>
      <c r="C52" s="133"/>
      <c r="D52" s="68" t="s">
        <v>171</v>
      </c>
      <c r="F52" s="104">
        <v>162</v>
      </c>
      <c r="G52" s="104">
        <v>199</v>
      </c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</row>
    <row r="53" spans="3:30" ht="12.75">
      <c r="C53" s="134"/>
      <c r="D53" s="45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43"/>
      <c r="AD53" s="16"/>
    </row>
    <row r="54" spans="1:29" s="16" customFormat="1" ht="12.75">
      <c r="A54" s="10"/>
      <c r="B54" s="16" t="s">
        <v>92</v>
      </c>
      <c r="C54" s="135"/>
      <c r="D54" s="68" t="s">
        <v>170</v>
      </c>
      <c r="F54" s="104">
        <v>496</v>
      </c>
      <c r="G54" s="104">
        <v>501</v>
      </c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</row>
    <row r="55" spans="1:29" s="16" customFormat="1" ht="12" customHeight="1">
      <c r="A55" s="10"/>
      <c r="C55" s="133"/>
      <c r="D55" s="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49"/>
    </row>
    <row r="56" spans="1:29" s="16" customFormat="1" ht="12.75">
      <c r="A56" s="10"/>
      <c r="B56" s="91"/>
      <c r="C56" s="135"/>
      <c r="D56" s="68" t="s">
        <v>169</v>
      </c>
      <c r="F56" s="104">
        <v>25</v>
      </c>
      <c r="G56" s="104">
        <v>36</v>
      </c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</row>
    <row r="57" spans="2:30" ht="12.75">
      <c r="B57" s="16"/>
      <c r="C57" s="134"/>
      <c r="D57" s="45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43"/>
      <c r="AD57" s="16"/>
    </row>
    <row r="58" spans="2:30" s="158" customFormat="1" ht="12.75">
      <c r="B58" s="159"/>
      <c r="C58" s="162"/>
      <c r="D58" s="161" t="s">
        <v>147</v>
      </c>
      <c r="F58" s="171">
        <v>2.35</v>
      </c>
      <c r="G58" s="170"/>
      <c r="H58" s="166"/>
      <c r="I58" s="170"/>
      <c r="J58" s="166"/>
      <c r="K58" s="170"/>
      <c r="L58" s="171"/>
      <c r="M58" s="170"/>
      <c r="N58" s="166"/>
      <c r="O58" s="170"/>
      <c r="P58" s="166"/>
      <c r="Q58" s="170"/>
      <c r="R58" s="171"/>
      <c r="S58" s="170"/>
      <c r="T58" s="166"/>
      <c r="U58" s="170"/>
      <c r="V58" s="166"/>
      <c r="W58" s="170"/>
      <c r="X58" s="171"/>
      <c r="Y58" s="170"/>
      <c r="Z58" s="166"/>
      <c r="AA58" s="170"/>
      <c r="AB58" s="166"/>
      <c r="AC58" s="166"/>
      <c r="AD58" s="159"/>
    </row>
    <row r="59" spans="1:29" s="16" customFormat="1" ht="12.75">
      <c r="A59" s="10"/>
      <c r="C59" s="134"/>
      <c r="D59" s="68" t="s">
        <v>90</v>
      </c>
      <c r="F59" s="104">
        <v>233</v>
      </c>
      <c r="G59" s="168"/>
      <c r="H59" s="104"/>
      <c r="I59" s="168"/>
      <c r="J59" s="104"/>
      <c r="K59" s="168"/>
      <c r="L59" s="104"/>
      <c r="M59" s="168"/>
      <c r="N59" s="104"/>
      <c r="O59" s="168"/>
      <c r="P59" s="104"/>
      <c r="Q59" s="168"/>
      <c r="R59" s="104"/>
      <c r="S59" s="168"/>
      <c r="T59" s="104"/>
      <c r="U59" s="168"/>
      <c r="V59" s="104"/>
      <c r="W59" s="168"/>
      <c r="X59" s="104"/>
      <c r="Y59" s="168"/>
      <c r="Z59" s="104"/>
      <c r="AA59" s="168"/>
      <c r="AB59" s="104"/>
      <c r="AC59" s="49"/>
    </row>
    <row r="60" spans="1:29" s="16" customFormat="1" ht="12.75">
      <c r="A60" s="10"/>
      <c r="C60" s="134"/>
      <c r="D60" s="68" t="s">
        <v>167</v>
      </c>
      <c r="F60" s="104">
        <f>$F58*F59</f>
        <v>547.5500000000001</v>
      </c>
      <c r="G60" s="104">
        <v>547</v>
      </c>
      <c r="H60" s="104">
        <f>$F58*H59</f>
        <v>0</v>
      </c>
      <c r="I60" s="104"/>
      <c r="J60" s="104">
        <f>$F58*J59</f>
        <v>0</v>
      </c>
      <c r="K60" s="104"/>
      <c r="L60" s="104">
        <f>$L58*L59</f>
        <v>0</v>
      </c>
      <c r="M60" s="104"/>
      <c r="N60" s="104">
        <f>$L58*N59</f>
        <v>0</v>
      </c>
      <c r="O60" s="104"/>
      <c r="P60" s="104">
        <f>$L58*P59</f>
        <v>0</v>
      </c>
      <c r="Q60" s="104"/>
      <c r="R60" s="104">
        <f>$R58*R59</f>
        <v>0</v>
      </c>
      <c r="S60" s="104"/>
      <c r="T60" s="104">
        <f>$R58*T59</f>
        <v>0</v>
      </c>
      <c r="U60" s="104"/>
      <c r="V60" s="104">
        <f>$R58*V59</f>
        <v>0</v>
      </c>
      <c r="W60" s="104"/>
      <c r="X60" s="104">
        <f>$X58*X59</f>
        <v>0</v>
      </c>
      <c r="Y60" s="104"/>
      <c r="Z60" s="104">
        <f>$X58*Z59</f>
        <v>0</v>
      </c>
      <c r="AA60" s="104"/>
      <c r="AB60" s="104">
        <f>$X58*AB59</f>
        <v>0</v>
      </c>
      <c r="AC60" s="104"/>
    </row>
    <row r="61" spans="1:29" s="16" customFormat="1" ht="12.75">
      <c r="A61" s="10"/>
      <c r="C61" s="134"/>
      <c r="D61" s="4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49"/>
    </row>
    <row r="62" spans="2:30" s="158" customFormat="1" ht="12.75">
      <c r="B62" s="159"/>
      <c r="C62" s="162"/>
      <c r="D62" s="161" t="s">
        <v>147</v>
      </c>
      <c r="F62" s="171">
        <v>1.79</v>
      </c>
      <c r="G62" s="170"/>
      <c r="H62" s="166"/>
      <c r="I62" s="170"/>
      <c r="J62" s="166"/>
      <c r="K62" s="170"/>
      <c r="L62" s="171"/>
      <c r="M62" s="170"/>
      <c r="N62" s="166"/>
      <c r="O62" s="170"/>
      <c r="P62" s="166"/>
      <c r="Q62" s="170"/>
      <c r="R62" s="171"/>
      <c r="S62" s="170"/>
      <c r="T62" s="166"/>
      <c r="U62" s="170"/>
      <c r="V62" s="166"/>
      <c r="W62" s="170"/>
      <c r="X62" s="171"/>
      <c r="Y62" s="170"/>
      <c r="Z62" s="166"/>
      <c r="AA62" s="170"/>
      <c r="AB62" s="166"/>
      <c r="AC62" s="166"/>
      <c r="AD62" s="159"/>
    </row>
    <row r="63" spans="1:29" s="16" customFormat="1" ht="12.75">
      <c r="A63" s="10"/>
      <c r="C63" s="134"/>
      <c r="D63" s="68" t="s">
        <v>91</v>
      </c>
      <c r="F63" s="104">
        <v>151</v>
      </c>
      <c r="G63" s="168"/>
      <c r="H63" s="104"/>
      <c r="I63" s="168"/>
      <c r="J63" s="104"/>
      <c r="K63" s="168"/>
      <c r="L63" s="104"/>
      <c r="M63" s="168"/>
      <c r="N63" s="104"/>
      <c r="O63" s="168"/>
      <c r="P63" s="104"/>
      <c r="Q63" s="168"/>
      <c r="R63" s="104"/>
      <c r="S63" s="168"/>
      <c r="T63" s="104"/>
      <c r="U63" s="168"/>
      <c r="V63" s="104"/>
      <c r="W63" s="168"/>
      <c r="X63" s="104"/>
      <c r="Y63" s="168"/>
      <c r="Z63" s="104"/>
      <c r="AA63" s="168"/>
      <c r="AB63" s="104"/>
      <c r="AC63" s="49"/>
    </row>
    <row r="64" spans="1:29" s="16" customFormat="1" ht="12.75">
      <c r="A64" s="10"/>
      <c r="C64" s="134"/>
      <c r="D64" s="68" t="s">
        <v>166</v>
      </c>
      <c r="F64" s="104">
        <f>$F62*F63</f>
        <v>270.29</v>
      </c>
      <c r="G64" s="104">
        <v>270</v>
      </c>
      <c r="H64" s="104">
        <f>$F62*H63</f>
        <v>0</v>
      </c>
      <c r="I64" s="104"/>
      <c r="J64" s="104">
        <f>$F62*J63</f>
        <v>0</v>
      </c>
      <c r="K64" s="104"/>
      <c r="L64" s="104">
        <f>$L62*L63</f>
        <v>0</v>
      </c>
      <c r="M64" s="104"/>
      <c r="N64" s="104">
        <f>$L62*N63</f>
        <v>0</v>
      </c>
      <c r="O64" s="104"/>
      <c r="P64" s="104">
        <f>$L62*P63</f>
        <v>0</v>
      </c>
      <c r="Q64" s="104"/>
      <c r="R64" s="104">
        <f>$R62*R63</f>
        <v>0</v>
      </c>
      <c r="S64" s="104"/>
      <c r="T64" s="104">
        <f>$R62*T63</f>
        <v>0</v>
      </c>
      <c r="U64" s="104"/>
      <c r="V64" s="104">
        <f>$R62*V63</f>
        <v>0</v>
      </c>
      <c r="W64" s="104"/>
      <c r="X64" s="104">
        <f>$X62*X63</f>
        <v>0</v>
      </c>
      <c r="Y64" s="104"/>
      <c r="Z64" s="104">
        <f>$X62*Z63</f>
        <v>0</v>
      </c>
      <c r="AA64" s="104"/>
      <c r="AB64" s="104">
        <f>$X62*AB63</f>
        <v>0</v>
      </c>
      <c r="AC64" s="104"/>
    </row>
    <row r="65" spans="2:30" ht="15" customHeight="1">
      <c r="B65" s="16"/>
      <c r="D65" s="45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43"/>
      <c r="AD65" s="16"/>
    </row>
    <row r="66" spans="2:30" s="158" customFormat="1" ht="12.75">
      <c r="B66" s="159"/>
      <c r="C66" s="163"/>
      <c r="D66" s="161" t="s">
        <v>147</v>
      </c>
      <c r="F66" s="171"/>
      <c r="G66" s="170"/>
      <c r="H66" s="166"/>
      <c r="I66" s="170"/>
      <c r="J66" s="166"/>
      <c r="K66" s="170"/>
      <c r="L66" s="171"/>
      <c r="M66" s="170"/>
      <c r="N66" s="166"/>
      <c r="O66" s="170"/>
      <c r="P66" s="166"/>
      <c r="Q66" s="170"/>
      <c r="R66" s="171"/>
      <c r="S66" s="170"/>
      <c r="T66" s="166"/>
      <c r="U66" s="170"/>
      <c r="V66" s="166"/>
      <c r="W66" s="170"/>
      <c r="X66" s="171"/>
      <c r="Y66" s="170"/>
      <c r="Z66" s="166"/>
      <c r="AA66" s="170"/>
      <c r="AB66" s="166"/>
      <c r="AC66" s="170"/>
      <c r="AD66" s="159"/>
    </row>
    <row r="67" spans="1:29" s="16" customFormat="1" ht="12.75">
      <c r="A67" s="10"/>
      <c r="C67" s="136"/>
      <c r="D67" s="138" t="s">
        <v>120</v>
      </c>
      <c r="F67" s="172"/>
      <c r="G67" s="168"/>
      <c r="H67" s="104"/>
      <c r="I67" s="168"/>
      <c r="J67" s="104"/>
      <c r="K67" s="168"/>
      <c r="L67" s="172"/>
      <c r="M67" s="168"/>
      <c r="N67" s="104"/>
      <c r="O67" s="168"/>
      <c r="P67" s="104"/>
      <c r="Q67" s="168"/>
      <c r="R67" s="104"/>
      <c r="S67" s="168"/>
      <c r="T67" s="104"/>
      <c r="U67" s="168"/>
      <c r="V67" s="104"/>
      <c r="W67" s="168"/>
      <c r="X67" s="104"/>
      <c r="Y67" s="168"/>
      <c r="Z67" s="104"/>
      <c r="AA67" s="168"/>
      <c r="AB67" s="104"/>
      <c r="AC67" s="168"/>
    </row>
    <row r="68" spans="1:29" s="16" customFormat="1" ht="12.75">
      <c r="A68" s="10"/>
      <c r="C68" s="136"/>
      <c r="D68" s="138" t="s">
        <v>168</v>
      </c>
      <c r="F68" s="104">
        <f>$F66*F67</f>
        <v>0</v>
      </c>
      <c r="G68" s="104"/>
      <c r="H68" s="104">
        <f>$F66*H67</f>
        <v>0</v>
      </c>
      <c r="I68" s="104"/>
      <c r="J68" s="104">
        <f>$F66*J67</f>
        <v>0</v>
      </c>
      <c r="K68" s="104"/>
      <c r="L68" s="104">
        <f>$L66*L67</f>
        <v>0</v>
      </c>
      <c r="M68" s="104"/>
      <c r="N68" s="104">
        <f>$L66*N67</f>
        <v>0</v>
      </c>
      <c r="O68" s="104"/>
      <c r="P68" s="104">
        <f>$L66*P67</f>
        <v>0</v>
      </c>
      <c r="Q68" s="104"/>
      <c r="R68" s="104">
        <f>$R66*R67</f>
        <v>0</v>
      </c>
      <c r="S68" s="104"/>
      <c r="T68" s="104">
        <f>$R66*T67</f>
        <v>0</v>
      </c>
      <c r="U68" s="104"/>
      <c r="V68" s="104">
        <f>$R66*V67</f>
        <v>0</v>
      </c>
      <c r="W68" s="104"/>
      <c r="X68" s="104">
        <f>$X66*X67</f>
        <v>0</v>
      </c>
      <c r="Y68" s="104"/>
      <c r="Z68" s="104">
        <f>$X66*Z67</f>
        <v>0</v>
      </c>
      <c r="AA68" s="104"/>
      <c r="AB68" s="104">
        <f>$X66*AB67</f>
        <v>0</v>
      </c>
      <c r="AC68" s="104"/>
    </row>
    <row r="69" s="16" customFormat="1" ht="12.75">
      <c r="D69" s="71"/>
    </row>
    <row r="70" spans="4:30" ht="12.75">
      <c r="D70" s="68" t="s">
        <v>94</v>
      </c>
      <c r="F70" s="10">
        <f>SUM(F8,F10,F12,F18,F20,F22,F24,F26,F32,F34,F36,F38,F40,F42,F44,F50,F52,F54,F56)</f>
        <v>2094</v>
      </c>
      <c r="H70" s="10">
        <f>SUM(H8,H10,H12,H18,H20,H22,H24,H26,H32,H34,H36,H38,H40,H42,H44,H50,H52,H54,H56)</f>
        <v>0</v>
      </c>
      <c r="J70" s="10">
        <f>SUM(J8,J10,J12,J18,J20,J22,J24,J26,J32,J34,J36,J38,J40,J42,J44,J50,J52,J54,J56)</f>
        <v>0</v>
      </c>
      <c r="L70" s="10">
        <f>SUM(L8,L10,L12,L18,L20,L22,L24,L26,L32,L34,L36,L38,L40,L42,L44,L50,L52,L54,L56)</f>
        <v>0</v>
      </c>
      <c r="N70" s="10">
        <f>SUM(N8,N10,N12,N18,N20,N22,N24,N26,N32,N34,N36,N38,N40,N42,N44,N50,N52,N54,N56)</f>
        <v>0</v>
      </c>
      <c r="P70" s="10">
        <f>SUM(P8,P10,P12,P18,P20,P22,P24,P26,P32,P34,P36,P38,P40,P42,P44,P50,P52,P54,P56)</f>
        <v>0</v>
      </c>
      <c r="R70" s="10">
        <f>SUM(R8,R10,R12,R18,R20,R22,R24,R26,R32,R34,R36,R38,R40,R42,R44,R50,R52,R54,R56)</f>
        <v>0</v>
      </c>
      <c r="T70" s="10">
        <f>SUM(T8,T10,T12,T18,T20,T22,T24,T26,T32,T34,T36,T38,T40,T42,T44,T50,T52,T54,T56)</f>
        <v>0</v>
      </c>
      <c r="V70" s="10">
        <f>SUM(V8,V10,V12,V18,V20,V22,V24,V26,V32,V34,V36,V38,V40,V42,V44,V50,V52,V54,V56)</f>
        <v>0</v>
      </c>
      <c r="X70" s="10">
        <f>SUM(X8,X10,X12,X18,X20,X22,X24,X26,X32,X34,X36,X38,X40,X42,X44,X50,X52,X54,X56)</f>
        <v>0</v>
      </c>
      <c r="Z70" s="10">
        <f>SUM(Z8,Z10,Z12,Z18,Z20,Z22,Z24,Z26,Z32,Z34,Z36,Z38,Z40,Z42,Z44,Z50,Z52,Z54,Z56)</f>
        <v>0</v>
      </c>
      <c r="AB70" s="10">
        <f>SUM(AB8,AB10,AB12,AB18,AB20,AB22,AB24,AB26,AB32,AB34,AB36,AB38,AB40,AB42,AB44,AB50,AB52,AB54,AB56)</f>
        <v>0</v>
      </c>
      <c r="AD70" s="16"/>
    </row>
    <row r="71" spans="4:30" ht="12.75">
      <c r="D71" s="45" t="s">
        <v>155</v>
      </c>
      <c r="F71" s="74">
        <f>(($F66*F67)+($F62*F63)+($F58*F59)+($F46*F47)+($F28*F29)+($F14*F15))</f>
        <v>5277.96</v>
      </c>
      <c r="G71" s="74"/>
      <c r="H71" s="74">
        <f>(($F66*H67)+($F62*H63)+($F58*H59)+($F46*H47)+($F28*H29)+($F14*H15))</f>
        <v>0</v>
      </c>
      <c r="I71" s="74"/>
      <c r="J71" s="74">
        <f>(($F66*J67)+($F62*J63)+($F58*J59)+($F46*J47)+($F28*J29)+($F14*J15))</f>
        <v>0</v>
      </c>
      <c r="K71" s="74"/>
      <c r="L71" s="74">
        <f>(($L66*L67)+($L62*L63)+($L58*L59)+($L46*L47)+($L28*L29)+($L14*L15))</f>
        <v>0</v>
      </c>
      <c r="M71" s="74"/>
      <c r="N71" s="74">
        <f>(($L66*N67)+($L62*N63)+($L58*N59)+($L46*N47)+($L28*N29)+($L14*N15))</f>
        <v>0</v>
      </c>
      <c r="O71" s="74"/>
      <c r="P71" s="74">
        <f>(($L66*P67)+($L62*P63)+($L58*P59)+($L46*P47)+($L28*P29)+($L14*P15))</f>
        <v>0</v>
      </c>
      <c r="Q71" s="74"/>
      <c r="R71" s="74">
        <f>(($R66*R67)+($R62*R63)+($R58*R59)+($R46*R47)+($R28*R29)+($R14*R15))</f>
        <v>0</v>
      </c>
      <c r="S71" s="74"/>
      <c r="T71" s="74">
        <f>(($R66*T67)+($R62*T63)+($R58*T59)+($R46*T47)+($R28*T29)+($R14*T15))</f>
        <v>0</v>
      </c>
      <c r="U71" s="74"/>
      <c r="V71" s="74">
        <f>(($R66*V67)+($R62*V63)+($R58*V59)+($R46*V47)+($R28*V29)+($R14*V15))</f>
        <v>0</v>
      </c>
      <c r="W71" s="74"/>
      <c r="X71" s="74">
        <f>(($X66*X67)+($X62*X63)+($X58*X59)+($X46*X47)+($X28*X29)+($X14*X15))</f>
        <v>0</v>
      </c>
      <c r="Y71" s="74"/>
      <c r="Z71" s="74">
        <f>(($X66*Z67)+($X62*Z63)+($X58*Z59)+($X46*Z47)+($X28*Z29)+($X14*Z15))</f>
        <v>0</v>
      </c>
      <c r="AA71" s="74"/>
      <c r="AB71" s="74">
        <f>(($X66*AB67)+($X62*AB63)+($X58*AB59)+($X46*AB47)+($X28*AB29)+($X14*AB15))</f>
        <v>0</v>
      </c>
      <c r="AD71" s="16"/>
    </row>
    <row r="72" spans="4:30" ht="12.75">
      <c r="D72" s="45" t="s">
        <v>95</v>
      </c>
      <c r="F72" s="10">
        <f>SUM(G68,G64,G60,G56,G54,G52,G50,G48,G44,G42,G40,G38,G36,G34,G32,G30,G26,G24,G22,G20,G18,G16,G12,G10,G8)</f>
        <v>7616</v>
      </c>
      <c r="H72" s="10">
        <f>SUM(I68,I64,I60,I56,I54,I52,I50,I48,I44,I42,I40,I38,I36,I34,I32,I30,I26,I24,I22,I20,I18,I16,I12,I10,I8)</f>
        <v>0</v>
      </c>
      <c r="J72" s="10">
        <f>SUM(K68,K64,K60,K56,K54,K52,K50,K48,K44,K42,K40,K38,K36,K34,K32,K30,K26,K24,K22,K20,K18,K16,K12,K10,K8)</f>
        <v>0</v>
      </c>
      <c r="L72" s="10">
        <f>SUM(M68,M64,M60,M56,M54,M52,M50,M48,M44,M42,M40,M38,M36,M34,M32,M30,M26,M24,M22,M20,M18,M16,M12,M10,M8)</f>
        <v>0</v>
      </c>
      <c r="N72" s="10">
        <f>SUM(O68,O64,O60,O56,O54,O52,O50,O48,O44,O42,O40,O38,O36,O34,O32,O30,O26,O24,O22,O20,O18,O16,O12,O10,O8)</f>
        <v>0</v>
      </c>
      <c r="P72" s="10">
        <f>SUM(Q68,Q64,Q60,Q56,Q54,Q52,Q50,Q48,Q44,Q42,Q40,Q38,Q36,Q34,Q32,Q30,Q26,Q24,Q22,Q20,Q18,Q16,Q12,Q10,Q8)</f>
        <v>0</v>
      </c>
      <c r="R72" s="10">
        <f>SUM(S68,S64,S60,S56,S54,S52,S50,S48,S44,S42,S40,S38,S36,S34,S32,S30,S26,S24,S22,S20,S18,S16,S12,S10,S8)</f>
        <v>0</v>
      </c>
      <c r="T72" s="10">
        <f>SUM(U68,U64,U60,U56,U54,U52,U50,U48,U44,U42,U40,U38,U36,U34,U32,U30,U26,U24,U22,U20,U18,U16,U12,U10,U8)</f>
        <v>0</v>
      </c>
      <c r="V72" s="10">
        <f>SUM(W68,W64,W60,W56,W54,W52,W50,W48,W44,W42,W40,W38,W36,W34,W32,W30,W26,W24,W22,W20,W18,W16,W12,W10,W8)</f>
        <v>0</v>
      </c>
      <c r="X72" s="10">
        <f>SUM(Y68,Y64,Y60,Y56,Y54,Y52,Y50,Y48,Y44,Y42,Y40,Y38,Y36,Y34,Y32,Y30,Y26,Y24,Y22,Y20,Y18,Y16,Y12,Y10,Y8)</f>
        <v>0</v>
      </c>
      <c r="Z72" s="10">
        <f>SUM(AA68,AA64,AA60,AA56,AA54,AA52,AA50,AA48,AA44,AA42,AA40,AA38,AA36,AA34,AA32,AA30,AA26,AA24,AA22,AA20,AA18,AA16,AA12,AA10,AA8)</f>
        <v>0</v>
      </c>
      <c r="AB72" s="10">
        <f>SUM(AC68,AC64,AC60,AC56,AC54,AC52,AC50,AC48,AC44,AC42,AC40,AC38,AC36,AC34,AC32,AC30,AC26,AC24,AC22,AC20,AC18,AC16,AC12,AC10,AC8)</f>
        <v>0</v>
      </c>
      <c r="AD72" s="16"/>
    </row>
    <row r="73" spans="4:30" ht="12.75">
      <c r="D73" s="45"/>
      <c r="AD73" s="16"/>
    </row>
    <row r="75" ht="12.75">
      <c r="D75" s="45"/>
    </row>
    <row r="76" ht="12" customHeight="1">
      <c r="F76" s="10" t="s">
        <v>165</v>
      </c>
    </row>
  </sheetData>
  <conditionalFormatting sqref="F6:AB6 F61:AB61 F21:AB21 F19:AB19">
    <cfRule type="cellIs" priority="1" dxfId="0" operator="between" stopIfTrue="1">
      <formula>0.00001</formula>
      <formula>49999.999</formula>
    </cfRule>
    <cfRule type="cellIs" priority="2" dxfId="1" operator="greaterThanOrEqual" stopIfTrue="1">
      <formula>50000</formula>
    </cfRule>
    <cfRule type="cellIs" priority="3" dxfId="2" operator="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landscape" paperSize="8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X25" sqref="X25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:IV1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fitToHeight="1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T33" sqref="T33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33" sqref="N33"/>
    </sheetView>
  </sheetViews>
  <sheetFormatPr defaultColWidth="9.140625" defaultRowHeight="12.75"/>
  <cols>
    <col min="1" max="16384" width="9.140625" style="38" customWidth="1"/>
  </cols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Interims - Supply Chain Practice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Jones</dc:creator>
  <cp:keywords/>
  <dc:description/>
  <cp:lastModifiedBy>D Jones</cp:lastModifiedBy>
  <cp:lastPrinted>2009-03-13T13:02:47Z</cp:lastPrinted>
  <dcterms:created xsi:type="dcterms:W3CDTF">2009-02-06T10:00:33Z</dcterms:created>
  <dcterms:modified xsi:type="dcterms:W3CDTF">2009-08-05T13:44:42Z</dcterms:modified>
  <cp:category/>
  <cp:version/>
  <cp:contentType/>
  <cp:contentStatus/>
</cp:coreProperties>
</file>